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13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5.xml" ContentType="application/vnd.openxmlformats-officedocument.drawingml.chartshapes+xml"/>
  <Override PartName="/xl/drawings/drawing44.xml" ContentType="application/vnd.openxmlformats-officedocument.drawingml.chartshapes+xml"/>
  <Override PartName="/xl/drawings/drawing48.xml" ContentType="application/vnd.openxmlformats-officedocument.drawingml.chartshapes+xml"/>
  <Override PartName="/xl/drawings/drawing54.xml" ContentType="application/vnd.openxmlformats-officedocument.drawingml.chartshapes+xml"/>
  <Override PartName="/xl/drawings/drawing43.xml" ContentType="application/vnd.openxmlformats-officedocument.drawingml.chartshapes+xml"/>
  <Override PartName="/xl/drawings/drawing107.xml" ContentType="application/vnd.openxmlformats-officedocument.drawingml.chartshapes+xml"/>
  <Override PartName="/xl/drawings/drawing102.xml" ContentType="application/vnd.openxmlformats-officedocument.drawingml.chartshapes+xml"/>
  <Override PartName="/xl/drawings/drawing94.xml" ContentType="application/vnd.openxmlformats-officedocument.drawingml.chartshapes+xml"/>
  <Override PartName="/xl/drawings/drawing82.xml" ContentType="application/vnd.openxmlformats-officedocument.drawingml.chartshapes+xml"/>
  <Override PartName="/xl/drawings/drawing56.xml" ContentType="application/vnd.openxmlformats-officedocument.drawingml.chartshapes+xml"/>
  <Override PartName="/xl/drawings/drawing49.xml" ContentType="application/vnd.openxmlformats-officedocument.drawingml.chartshapes+xml"/>
  <Override PartName="/xl/drawings/drawing42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27.xml" ContentType="application/vnd.openxmlformats-officedocument.drawingml.chartshapes+xml"/>
  <Override PartName="/xl/drawings/drawing25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40.xml" ContentType="application/vnd.openxmlformats-officedocument.drawingml.chartshapes+xml"/>
  <Override PartName="/xl/drawings/drawing39.xml" ContentType="application/vnd.openxmlformats-officedocument.drawingml.chartshapes+xml"/>
  <Override PartName="/xl/drawings/drawing38.xml" ContentType="application/vnd.openxmlformats-officedocument.drawingml.chartshapes+xml"/>
  <Override PartName="/xl/drawings/drawing37.xml" ContentType="application/vnd.openxmlformats-officedocument.drawingml.chartshapes+xml"/>
  <Override PartName="/xl/drawings/drawing112.xml" ContentType="application/vnd.openxmlformats-officedocument.drawingml.chartshapes+xml"/>
  <Override PartName="/xl/drawings/drawing126.xml" ContentType="application/vnd.openxmlformats-officedocument.drawingml.chartshapes+xml"/>
  <Override PartName="/xl/drawings/drawing18.xml" ContentType="application/vnd.openxmlformats-officedocument.drawingml.chartshapes+xml"/>
  <Override PartName="/xl/drawings/drawing134.xml" ContentType="application/vnd.openxmlformats-officedocument.drawingml.chartshapes+xml"/>
  <Override PartName="/xl/drawings/drawing133.xml" ContentType="application/vnd.openxmlformats-officedocument.drawingml.chartshapes+xml"/>
  <Override PartName="/xl/drawings/drawing132.xml" ContentType="application/vnd.openxmlformats-officedocument.drawingml.chartshapes+xml"/>
  <Override PartName="/xl/drawings/drawing131.xml" ContentType="application/vnd.openxmlformats-officedocument.drawingml.chartshapes+xml"/>
  <Override PartName="/xl/drawings/drawing127.xml" ContentType="application/vnd.openxmlformats-officedocument.drawingml.chartshapes+xml"/>
  <Override PartName="/xl/drawings/drawing135.xml" ContentType="application/vnd.openxmlformats-officedocument.drawingml.chartshapes+xml"/>
  <Override PartName="/xl/drawings/drawing136.xml" ContentType="application/vnd.openxmlformats-officedocument.drawingml.chartshapes+xml"/>
  <Override PartName="/xl/drawings/drawing137.xml" ContentType="application/vnd.openxmlformats-officedocument.drawingml.chartshapes+xml"/>
  <Override PartName="/xl/drawings/drawing142.xml" ContentType="application/vnd.openxmlformats-officedocument.drawingml.chartshapes+xml"/>
  <Override PartName="/xl/drawings/drawing138.xml" ContentType="application/vnd.openxmlformats-officedocument.drawingml.chartshapes+xml"/>
  <Override PartName="/xl/drawings/drawing117.xml" ContentType="application/vnd.openxmlformats-officedocument.drawingml.chartshapes+xml"/>
  <Override PartName="/xl/workbook.xml" ContentType="application/vnd.openxmlformats-officedocument.spreadsheetml.sheet.main+xml"/>
  <Override PartName="/xl/worksheets/sheet62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2.xml" ContentType="application/vnd.openxmlformats-officedocument.spreadsheetml.worksheet+xml"/>
  <Override PartName="/xl/worksheets/sheet21.xml" ContentType="application/vnd.openxmlformats-officedocument.spreadsheetml.worksheet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charts/chart73.xml" ContentType="application/vnd.openxmlformats-officedocument.drawingml.chart+xml"/>
  <Override PartName="/xl/worksheets/sheet22.xml" ContentType="application/vnd.openxmlformats-officedocument.spreadsheetml.worksheet+xml"/>
  <Override PartName="/xl/charts/chart72.xml" ContentType="application/vnd.openxmlformats-officedocument.drawingml.chart+xml"/>
  <Override PartName="/xl/charts/chart70.xml" ContentType="application/vnd.openxmlformats-officedocument.drawingml.chart+xml"/>
  <Override PartName="/xl/worksheets/sheet24.xml" ContentType="application/vnd.openxmlformats-officedocument.spreadsheetml.worksheet+xml"/>
  <Override PartName="/xl/charts/chart71.xml" ContentType="application/vnd.openxmlformats-officedocument.drawingml.chart+xml"/>
  <Override PartName="/xl/worksheets/sheet23.xml" ContentType="application/vnd.openxmlformats-officedocument.spreadsheetml.worksheet+xml"/>
  <Override PartName="/xl/drawings/drawing141.xml" ContentType="application/vnd.openxmlformats-officedocument.drawing+xml"/>
  <Override PartName="/xl/drawings/drawing145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44.xml" ContentType="application/vnd.openxmlformats-officedocument.drawing+xml"/>
  <Override PartName="/xl/drawings/drawing143.xml" ContentType="application/vnd.openxmlformats-officedocument.drawing+xml"/>
  <Override PartName="/xl/worksheets/sheet20.xml" ContentType="application/vnd.openxmlformats-officedocument.spreadsheetml.worksheet+xml"/>
  <Override PartName="/xl/charts/chart74.xml" ContentType="application/vnd.openxmlformats-officedocument.drawingml.chart+xml"/>
  <Override PartName="/xl/worksheets/sheet25.xml" ContentType="application/vnd.openxmlformats-officedocument.spreadsheetml.worksheet+xml"/>
  <Override PartName="/xl/charts/chart69.xml" ContentType="application/vnd.openxmlformats-officedocument.drawingml.chart+xml"/>
  <Override PartName="/xl/worksheets/sheet26.xml" ContentType="application/vnd.openxmlformats-officedocument.spreadsheetml.worksheet+xml"/>
  <Override PartName="/xl/drawings/drawing129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worksheets/sheet1.xml" ContentType="application/vnd.openxmlformats-officedocument.spreadsheetml.worksheet+xml"/>
  <Override PartName="/xl/worksheets/sheet29.xml" ContentType="application/vnd.openxmlformats-officedocument.spreadsheetml.worksheet+xml"/>
  <Override PartName="/xl/charts/chart56.xml" ContentType="application/vnd.openxmlformats-officedocument.drawingml.chart+xml"/>
  <Override PartName="/xl/worksheets/sheet30.xml" ContentType="application/vnd.openxmlformats-officedocument.spreadsheetml.worksheet+xml"/>
  <Override PartName="/xl/charts/chart57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worksheets/sheet28.xml" ContentType="application/vnd.openxmlformats-officedocument.spreadsheetml.worksheet+xml"/>
  <Override PartName="/xl/charts/chart67.xml" ContentType="application/vnd.openxmlformats-officedocument.drawingml.chart+xml"/>
  <Override PartName="/xl/worksheets/sheet27.xml" ContentType="application/vnd.openxmlformats-officedocument.spreadsheetml.worksheet+xml"/>
  <Override PartName="/xl/charts/chart68.xml" ContentType="application/vnd.openxmlformats-officedocument.drawingml.chart+xml"/>
  <Override PartName="/xl/charts/chart66.xml" ContentType="application/vnd.openxmlformats-officedocument.drawingml.chart+xml"/>
  <Override PartName="/xl/drawings/drawing130.xml" ContentType="application/vnd.openxmlformats-officedocument.drawing+xml"/>
  <Override PartName="/xl/charts/chart65.xml" ContentType="application/vnd.openxmlformats-officedocument.drawingml.chart+xml"/>
  <Override PartName="/xl/charts/chart64.xml" ContentType="application/vnd.openxmlformats-officedocument.drawingml.chart+xml"/>
  <Override PartName="/xl/charts/chart63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drawings/drawing146.xml" ContentType="application/vnd.openxmlformats-officedocument.drawing+xml"/>
  <Override PartName="/xl/drawings/drawing125.xml" ContentType="application/vnd.openxmlformats-officedocument.drawing+xml"/>
  <Override PartName="/xl/drawings/drawing128.xml" ContentType="application/vnd.openxmlformats-officedocument.drawing+xml"/>
  <Override PartName="/xl/charts/chart13.xml" ContentType="application/vnd.openxmlformats-officedocument.drawingml.chart+xml"/>
  <Override PartName="/xl/worksheets/sheet50.xml" ContentType="application/vnd.openxmlformats-officedocument.spreadsheetml.worksheet+xml"/>
  <Override PartName="/xl/charts/chart14.xml" ContentType="application/vnd.openxmlformats-officedocument.drawingml.chart+xml"/>
  <Override PartName="/xl/worksheets/sheet49.xml" ContentType="application/vnd.openxmlformats-officedocument.spreadsheetml.worksheet+xml"/>
  <Override PartName="/xl/worksheets/sheet51.xml" ContentType="application/vnd.openxmlformats-officedocument.spreadsheetml.worksheet+xml"/>
  <Override PartName="/xl/charts/chart12.xml" ContentType="application/vnd.openxmlformats-officedocument.drawingml.chart+xml"/>
  <Override PartName="/xl/worksheets/sheet52.xml" ContentType="application/vnd.openxmlformats-officedocument.spreadsheetml.worksheet+xml"/>
  <Override PartName="/xl/charts/chart11.xml" ContentType="application/vnd.openxmlformats-officedocument.drawingml.chart+xml"/>
  <Override PartName="/xl/worksheets/sheet53.xml" ContentType="application/vnd.openxmlformats-officedocument.spreadsheetml.worksheet+xml"/>
  <Override PartName="/xl/charts/chart10.xml" ContentType="application/vnd.openxmlformats-officedocument.drawingml.chart+xml"/>
  <Override PartName="/xl/charts/chart15.xml" ContentType="application/vnd.openxmlformats-officedocument.drawingml.chart+xml"/>
  <Override PartName="/xl/worksheets/sheet48.xml" ContentType="application/vnd.openxmlformats-officedocument.spreadsheetml.worksheet+xml"/>
  <Override PartName="/xl/charts/chart16.xml" ContentType="application/vnd.openxmlformats-officedocument.drawingml.chart+xml"/>
  <Override PartName="/xl/worksheets/sheet43.xml" ContentType="application/vnd.openxmlformats-officedocument.spreadsheetml.worksheet+xml"/>
  <Override PartName="/xl/charts/chart20.xml" ContentType="application/vnd.openxmlformats-officedocument.drawingml.chart+xml"/>
  <Override PartName="/xl/worksheets/sheet44.xml" ContentType="application/vnd.openxmlformats-officedocument.spreadsheetml.worksheet+xml"/>
  <Override PartName="/xl/charts/chart19.xml" ContentType="application/vnd.openxmlformats-officedocument.drawingml.chart+xml"/>
  <Override PartName="/xl/worksheets/sheet45.xml" ContentType="application/vnd.openxmlformats-officedocument.spreadsheetml.worksheet+xml"/>
  <Override PartName="/xl/charts/chart18.xml" ContentType="application/vnd.openxmlformats-officedocument.drawingml.chart+xml"/>
  <Override PartName="/xl/worksheets/sheet46.xml" ContentType="application/vnd.openxmlformats-officedocument.spreadsheetml.worksheet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worksheets/sheet54.xml" ContentType="application/vnd.openxmlformats-officedocument.spreadsheetml.worksheet+xml"/>
  <Override PartName="/xl/charts/chart9.xml" ContentType="application/vnd.openxmlformats-officedocument.drawingml.chart+xml"/>
  <Override PartName="/xl/drawings/drawing26.xml" ContentType="application/vnd.openxmlformats-officedocument.drawing+xml"/>
  <Override PartName="/xl/charts/chart7.xml" ContentType="application/vnd.openxmlformats-officedocument.drawingml.char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charts/chart6.xml" ContentType="application/vnd.openxmlformats-officedocument.drawingml.chart+xml"/>
  <Override PartName="/xl/drawings/drawing24.xml" ContentType="application/vnd.openxmlformats-officedocument.drawing+xml"/>
  <Override PartName="/xl/drawings/drawing23.xml" ContentType="application/vnd.openxmlformats-officedocument.drawing+xml"/>
  <Override PartName="/xl/drawings/drawing28.xml" ContentType="application/vnd.openxmlformats-officedocument.drawing+xml"/>
  <Override PartName="/xl/charts/chart8.xml" ContentType="application/vnd.openxmlformats-officedocument.drawingml.chart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31.xml" ContentType="application/vnd.openxmlformats-officedocument.drawing+xml"/>
  <Override PartName="/xl/drawings/drawing30.xml" ContentType="application/vnd.openxmlformats-officedocument.drawing+xml"/>
  <Override PartName="/xl/worksheets/sheet55.xml" ContentType="application/vnd.openxmlformats-officedocument.spreadsheetml.worksheet+xml"/>
  <Override PartName="/xl/charts/chart21.xml" ContentType="application/vnd.openxmlformats-officedocument.drawingml.chart+xml"/>
  <Override PartName="/xl/worksheets/sheet42.xml" ContentType="application/vnd.openxmlformats-officedocument.spreadsheetml.worksheet+xml"/>
  <Override PartName="/xl/charts/chart22.xml" ContentType="application/vnd.openxmlformats-officedocument.drawingml.chart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1.xml" ContentType="application/vnd.openxmlformats-officedocument.drawing+xml"/>
  <Override PartName="/xl/drawings/drawing60.xml" ContentType="application/vnd.openxmlformats-officedocument.drawing+xml"/>
  <Override PartName="/xl/drawings/drawing59.xml" ContentType="application/vnd.openxmlformats-officedocument.drawing+xml"/>
  <Override PartName="/xl/charts/chart27.xml" ContentType="application/vnd.openxmlformats-officedocument.drawingml.chart+xml"/>
  <Override PartName="/xl/drawings/drawing64.xml" ContentType="application/vnd.openxmlformats-officedocument.drawing+xml"/>
  <Override PartName="/xl/drawings/drawing69.xml" ContentType="application/vnd.openxmlformats-officedocument.drawing+xml"/>
  <Override PartName="/xl/drawings/drawing68.xml" ContentType="application/vnd.openxmlformats-officedocument.drawing+xml"/>
  <Override PartName="/xl/drawings/drawing67.xml" ContentType="application/vnd.openxmlformats-officedocument.drawing+xml"/>
  <Override PartName="/xl/drawings/drawing66.xml" ContentType="application/vnd.openxmlformats-officedocument.drawing+xml"/>
  <Override PartName="/xl/drawings/drawing65.xml" ContentType="application/vnd.openxmlformats-officedocument.drawing+xml"/>
  <Override PartName="/xl/drawings/drawing58.xml" ContentType="application/vnd.openxmlformats-officedocument.drawing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39.xml" ContentType="application/vnd.openxmlformats-officedocument.spreadsheetml.worksheet+xml"/>
  <Override PartName="/xl/charts/chart24.xml" ContentType="application/vnd.openxmlformats-officedocument.drawingml.chart+xml"/>
  <Override PartName="/xl/worksheets/sheet40.xml" ContentType="application/vnd.openxmlformats-officedocument.spreadsheetml.worksheet+xml"/>
  <Override PartName="/xl/charts/chart23.xml" ContentType="application/vnd.openxmlformats-officedocument.drawingml.chart+xml"/>
  <Override PartName="/xl/worksheets/sheet41.xml" ContentType="application/vnd.openxmlformats-officedocument.spreadsheetml.worksheet+xml"/>
  <Override PartName="/xl/drawings/drawing52.xml" ContentType="application/vnd.openxmlformats-officedocument.drawing+xml"/>
  <Override PartName="/xl/drawings/drawing57.xml" ContentType="application/vnd.openxmlformats-officedocument.drawing+xml"/>
  <Override PartName="/xl/worksheets/sheet37.xml" ContentType="application/vnd.openxmlformats-officedocument.spreadsheetml.worksheet+xml"/>
  <Override PartName="/xl/charts/chart26.xml" ContentType="application/vnd.openxmlformats-officedocument.drawingml.chart+xml"/>
  <Override PartName="/xl/drawings/drawing55.xml" ContentType="application/vnd.openxmlformats-officedocument.drawing+xml"/>
  <Override PartName="/xl/worksheets/sheet38.xml" ContentType="application/vnd.openxmlformats-officedocument.spreadsheetml.worksheet+xml"/>
  <Override PartName="/xl/charts/chart25.xml" ContentType="application/vnd.openxmlformats-officedocument.drawingml.chart+xml"/>
  <Override PartName="/xl/drawings/drawing53.xml" ContentType="application/vnd.openxmlformats-officedocument.drawing+xml"/>
  <Override PartName="/xl/drawings/drawing22.xml" ContentType="application/vnd.openxmlformats-officedocument.drawing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3.xml" ContentType="application/vnd.openxmlformats-officedocument.spreadsheetml.worksheet+xml"/>
  <Override PartName="/xl/worksheets/sheet92.xml" ContentType="application/vnd.openxmlformats-officedocument.spreadsheetml.worksheet+xml"/>
  <Override PartName="/xl/worksheets/sheet91.xml" ContentType="application/vnd.openxmlformats-officedocument.spreadsheetml.worksheet+xml"/>
  <Override PartName="/xl/worksheets/sheet90.xml" ContentType="application/vnd.openxmlformats-officedocument.spreadsheetml.worksheet+xml"/>
  <Override PartName="/xl/worksheets/sheet89.xml" ContentType="application/vnd.openxmlformats-officedocument.spreadsheetml.worksheet+xml"/>
  <Override PartName="/xl/worksheets/sheet88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0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1.xml" ContentType="application/vnd.openxmlformats-officedocument.spreadsheetml.worksheet+xml"/>
  <Override PartName="/xl/worksheets/sheet87.xml" ContentType="application/vnd.openxmlformats-officedocument.spreadsheetml.worksheet+xml"/>
  <Override PartName="/xl/worksheets/sheet86.xml" ContentType="application/vnd.openxmlformats-officedocument.spreadsheetml.worksheet+xml"/>
  <Override PartName="/xl/worksheets/sheet85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84.xml" ContentType="application/vnd.openxmlformats-officedocument.spreadsheetml.worksheet+xml"/>
  <Override PartName="/xl/worksheets/sheet83.xml" ContentType="application/vnd.openxmlformats-officedocument.spreadsheetml.worksheet+xml"/>
  <Override PartName="/xl/worksheets/sheet82.xml" ContentType="application/vnd.openxmlformats-officedocument.spreadsheetml.worksheet+xml"/>
  <Override PartName="/xl/worksheets/sheet81.xml" ContentType="application/vnd.openxmlformats-officedocument.spreadsheetml.worksheet+xml"/>
  <Override PartName="/xl/worksheets/sheet80.xml" ContentType="application/vnd.openxmlformats-officedocument.spreadsheetml.worksheet+xml"/>
  <Override PartName="/xl/worksheets/sheet79.xml" ContentType="application/vnd.openxmlformats-officedocument.spreadsheetml.worksheet+xml"/>
  <Override PartName="/xl/worksheets/sheet7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6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4.xml" ContentType="application/vnd.openxmlformats-officedocument.drawing+xml"/>
  <Override PartName="/xl/worksheets/sheet61.xml" ContentType="application/vnd.openxmlformats-officedocument.spreadsheetml.worksheet+xml"/>
  <Override PartName="/xl/charts/chart2.xml" ContentType="application/vnd.openxmlformats-officedocument.drawingml.chart+xml"/>
  <Override PartName="/xl/drawings/drawing12.xml" ContentType="application/vnd.openxmlformats-officedocument.drawing+xml"/>
  <Override PartName="/xl/drawings/drawing17.xml" ContentType="application/vnd.openxmlformats-officedocument.drawing+xml"/>
  <Override PartName="/xl/charts/chart3.xml" ContentType="application/vnd.openxmlformats-officedocument.drawingml.chart+xml"/>
  <Override PartName="/xl/drawings/drawing21.xml" ContentType="application/vnd.openxmlformats-officedocument.drawing+xml"/>
  <Override PartName="/xl/worksheets/sheet58.xml" ContentType="application/vnd.openxmlformats-officedocument.spreadsheetml.worksheet+xml"/>
  <Override PartName="/xl/theme/themeOverride3.xml" ContentType="application/vnd.openxmlformats-officedocument.themeOverride+xml"/>
  <Override PartName="/xl/charts/chart5.xml" ContentType="application/vnd.openxmlformats-officedocument.drawingml.chart+xml"/>
  <Override PartName="/xl/worksheets/sheet59.xml" ContentType="application/vnd.openxmlformats-officedocument.spreadsheetml.worksheet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worksheets/sheet60.xml" ContentType="application/vnd.openxmlformats-officedocument.spreadsheetml.worksheet+xml"/>
  <Override PartName="/xl/theme/themeOverride1.xml" ContentType="application/vnd.openxmlformats-officedocument.themeOverride+xml"/>
  <Override PartName="/xl/drawings/drawing11.xml" ContentType="application/vnd.openxmlformats-officedocument.drawing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drawings/drawing70.xml" ContentType="application/vnd.openxmlformats-officedocument.drawing+xml"/>
  <Override PartName="/xl/charts/chart37.xml" ContentType="application/vnd.openxmlformats-officedocument.drawingml.chart+xml"/>
  <Override PartName="/xl/drawings/drawing104.xml" ContentType="application/vnd.openxmlformats-officedocument.drawing+xml"/>
  <Override PartName="/xl/drawings/drawing103.xml" ContentType="application/vnd.openxmlformats-officedocument.drawing+xml"/>
  <Override PartName="/xl/worksheets/sheet34.xml" ContentType="application/vnd.openxmlformats-officedocument.spreadsheetml.worksheet+xml"/>
  <Override PartName="/xl/charts/chart36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08.xml" ContentType="application/vnd.openxmlformats-officedocument.drawing+xml"/>
  <Override PartName="/xl/worksheets/sheet33.xml" ContentType="application/vnd.openxmlformats-officedocument.spreadsheetml.worksheet+xml"/>
  <Override PartName="/xl/charts/chart41.xml" ContentType="application/vnd.openxmlformats-officedocument.drawingml.chart+xml"/>
  <Override PartName="/xl/drawings/drawing106.xml" ContentType="application/vnd.openxmlformats-officedocument.drawing+xml"/>
  <Override PartName="/xl/drawings/drawing105.xml" ContentType="application/vnd.openxmlformats-officedocument.drawing+xml"/>
  <Override PartName="/xl/drawings/drawing101.xml" ContentType="application/vnd.openxmlformats-officedocument.drawing+xml"/>
  <Override PartName="/xl/drawings/drawing99.xml" ContentType="application/vnd.openxmlformats-officedocument.drawing+xml"/>
  <Override PartName="/xl/charts/chart35.xml" ContentType="application/vnd.openxmlformats-officedocument.drawingml.chart+xml"/>
  <Override PartName="/xl/worksheets/sheet35.xml" ContentType="application/vnd.openxmlformats-officedocument.spreadsheetml.worksheet+xml"/>
  <Override PartName="/xl/charts/chart33.xml" ContentType="application/vnd.openxmlformats-officedocument.drawingml.chart+xml"/>
  <Override PartName="/xl/drawings/drawing93.xml" ContentType="application/vnd.openxmlformats-officedocument.drawing+xml"/>
  <Override PartName="/xl/drawings/drawing92.xml" ContentType="application/vnd.openxmlformats-officedocument.drawing+xml"/>
  <Override PartName="/xl/drawings/drawing91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charts/chart34.xml" ContentType="application/vnd.openxmlformats-officedocument.drawingml.chart+xml"/>
  <Override PartName="/xl/drawings/drawing109.xml" ContentType="application/vnd.openxmlformats-officedocument.drawing+xml"/>
  <Override PartName="/xl/charts/chart42.xml" ContentType="application/vnd.openxmlformats-officedocument.drawingml.chart+xml"/>
  <Override PartName="/xl/charts/chart53.xml" ContentType="application/vnd.openxmlformats-officedocument.drawingml.chart+xml"/>
  <Override PartName="/xl/charts/chart52.xml" ContentType="application/vnd.openxmlformats-officedocument.drawingml.chart+xml"/>
  <Override PartName="/xl/drawings/drawing119.xml" ContentType="application/vnd.openxmlformats-officedocument.drawing+xml"/>
  <Override PartName="/xl/drawings/drawing118.xml" ContentType="application/vnd.openxmlformats-officedocument.drawing+xml"/>
  <Override PartName="/xl/worksheets/sheet31.xml" ContentType="application/vnd.openxmlformats-officedocument.spreadsheetml.worksheet+xml"/>
  <Override PartName="/xl/charts/chart51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120.xml" ContentType="application/vnd.openxmlformats-officedocument.drawing+xml"/>
  <Override PartName="/xl/drawings/drawing124.xml" ContentType="application/vnd.openxmlformats-officedocument.drawing+xml"/>
  <Override PartName="/xl/drawings/drawing123.xml" ContentType="application/vnd.openxmlformats-officedocument.drawing+xml"/>
  <Override PartName="/xl/drawings/drawing122.xml" ContentType="application/vnd.openxmlformats-officedocument.drawing+xml"/>
  <Override PartName="/xl/drawings/drawing121.xml" ContentType="application/vnd.openxmlformats-officedocument.drawing+xml"/>
  <Override PartName="/xl/drawings/drawing116.xml" ContentType="application/vnd.openxmlformats-officedocument.drawing+xml"/>
  <Override PartName="/xl/charts/chart46.xml" ContentType="application/vnd.openxmlformats-officedocument.drawingml.chart+xml"/>
  <Override PartName="/xl/drawings/drawing111.xml" ContentType="application/vnd.openxmlformats-officedocument.drawing+xml"/>
  <Override PartName="/xl/drawings/drawing110.xml" ContentType="application/vnd.openxmlformats-officedocument.drawing+xml"/>
  <Override PartName="/xl/charts/chart45.xml" ContentType="application/vnd.openxmlformats-officedocument.drawingml.chart+xml"/>
  <Override PartName="/xl/charts/chart44.xml" ContentType="application/vnd.openxmlformats-officedocument.drawingml.chart+xml"/>
  <Override PartName="/xl/charts/chart43.xml" ContentType="application/vnd.openxmlformats-officedocument.drawingml.chart+xml"/>
  <Override PartName="/xl/worksheets/sheet32.xml" ContentType="application/vnd.openxmlformats-officedocument.spreadsheetml.worksheet+xml"/>
  <Override PartName="/xl/drawings/drawing113.xml" ContentType="application/vnd.openxmlformats-officedocument.drawing+xml"/>
  <Override PartName="/xl/drawings/drawing115.xml" ContentType="application/vnd.openxmlformats-officedocument.drawing+xml"/>
  <Override PartName="/xl/charts/chart50.xml" ContentType="application/vnd.openxmlformats-officedocument.drawingml.chart+xml"/>
  <Override PartName="/xl/charts/chart49.xml" ContentType="application/vnd.openxmlformats-officedocument.drawingml.chart+xml"/>
  <Override PartName="/xl/charts/chart48.xml" ContentType="application/vnd.openxmlformats-officedocument.drawingml.chart+xml"/>
  <Override PartName="/xl/charts/chart47.xml" ContentType="application/vnd.openxmlformats-officedocument.drawingml.chart+xml"/>
  <Override PartName="/xl/drawings/drawing114.xml" ContentType="application/vnd.openxmlformats-officedocument.drawing+xml"/>
  <Override PartName="/xl/drawings/drawing100.xml" ContentType="application/vnd.openxmlformats-officedocument.drawing+xml"/>
  <Override PartName="/xl/drawings/drawing80.xml" ContentType="application/vnd.openxmlformats-officedocument.drawing+xml"/>
  <Override PartName="/xl/drawings/drawing90.xml" ContentType="application/vnd.openxmlformats-officedocument.drawing+xml"/>
  <Override PartName="/xl/drawings/drawing78.xml" ContentType="application/vnd.openxmlformats-officedocument.drawing+xml"/>
  <Override PartName="/xl/drawings/drawing81.xml" ContentType="application/vnd.openxmlformats-officedocument.drawing+xml"/>
  <Override PartName="/xl/charts/chart30.xml" ContentType="application/vnd.openxmlformats-officedocument.drawingml.chart+xml"/>
  <Override PartName="/xl/drawings/drawing84.xml" ContentType="application/vnd.openxmlformats-officedocument.drawing+xml"/>
  <Override PartName="/xl/drawings/drawing83.xml" ContentType="application/vnd.openxmlformats-officedocument.drawing+xml"/>
  <Override PartName="/xl/worksheets/sheet36.xml" ContentType="application/vnd.openxmlformats-officedocument.spreadsheetml.worksheet+xml"/>
  <Override PartName="/xl/drawings/drawing77.xml" ContentType="application/vnd.openxmlformats-officedocument.drawing+xml"/>
  <Override PartName="/xl/drawings/drawing72.xml" ContentType="application/vnd.openxmlformats-officedocument.drawing+xml"/>
  <Override PartName="/xl/charts/chart28.xml" ContentType="application/vnd.openxmlformats-officedocument.drawingml.chart+xml"/>
  <Override PartName="/xl/drawings/drawing71.xml" ContentType="application/vnd.openxmlformats-officedocument.drawing+xml"/>
  <Override PartName="/xl/drawings/drawing73.xml" ContentType="application/vnd.openxmlformats-officedocument.drawing+xml"/>
  <Override PartName="/xl/charts/chart29.xml" ContentType="application/vnd.openxmlformats-officedocument.drawingml.chart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4.xml" ContentType="application/vnd.openxmlformats-officedocument.drawing+xml"/>
  <Override PartName="/xl/charts/chart31.xml" ContentType="application/vnd.openxmlformats-officedocument.drawingml.chart+xml"/>
  <Override PartName="/xl/drawings/drawing79.xml" ContentType="application/vnd.openxmlformats-officedocument.drawing+xml"/>
  <Override PartName="/xl/drawings/drawing89.xml" ContentType="application/vnd.openxmlformats-officedocument.drawing+xml"/>
  <Override PartName="/xl/drawings/drawing88.xml" ContentType="application/vnd.openxmlformats-officedocument.drawing+xml"/>
  <Override PartName="/xl/charts/chart32.xml" ContentType="application/vnd.openxmlformats-officedocument.drawingml.chart+xml"/>
  <Override PartName="/xl/drawings/drawing87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35" windowHeight="12210"/>
  </bookViews>
  <sheets>
    <sheet name="Menú Principal" sheetId="1" r:id="rId1"/>
    <sheet name="Menú Turismo alojado" sheetId="2" r:id="rId2"/>
    <sheet name="Menú tipología de establecimien" sheetId="3" r:id="rId3"/>
    <sheet name="Alojados tipología" sheetId="4" r:id="rId4"/>
    <sheet name="tab. Turistas alojados tip" sheetId="5" r:id="rId5"/>
    <sheet name="grafica evolución alo x tip" sheetId="6" r:id="rId6"/>
    <sheet name="var evolu x tipolo" sheetId="7" r:id="rId7"/>
    <sheet name="tab.Evolución mensual tipología" sheetId="8" r:id="rId8"/>
    <sheet name="tablas turistas por Temporada" sheetId="9" r:id="rId9"/>
    <sheet name="Menú zonas y tipología" sheetId="10" r:id="rId10"/>
    <sheet name="Alojados zona tipología" sheetId="11" r:id="rId11"/>
    <sheet name="Gráfico alojados zona y tipolog" sheetId="12" r:id="rId12"/>
    <sheet name="Tablas turistas zona y tip." sheetId="13" r:id="rId13"/>
    <sheet name="variación x zonas tipo " sheetId="14" r:id="rId14"/>
    <sheet name="tablas Zonas mensual " sheetId="15" r:id="rId15"/>
    <sheet name="grafica zona mensual" sheetId="16" r:id="rId16"/>
    <sheet name="Tablas Evo. mens. zonas y TIPO" sheetId="17" r:id="rId17"/>
    <sheet name="Menú categoría-tipología" sheetId="18" r:id="rId18"/>
    <sheet name="tablas turistas por categorías " sheetId="19" r:id="rId19"/>
    <sheet name="grafica evolucion por categoria" sheetId="20" r:id="rId20"/>
    <sheet name="graf. dist cate ultimo año" sheetId="21" r:id="rId21"/>
    <sheet name="graf. dist cate periodo act" sheetId="22" r:id="rId22"/>
    <sheet name="VARIACIÓN EVOL POR CATEGORIA" sheetId="23" r:id="rId23"/>
    <sheet name="tab,Evolución mensual categoría" sheetId="24" r:id="rId24"/>
    <sheet name="Menú nacionalidades" sheetId="25" r:id="rId25"/>
    <sheet name="graficas evol mensual merc" sheetId="26" r:id="rId26"/>
    <sheet name="Nacionalidades  evolución mensu" sheetId="27" r:id="rId27"/>
    <sheet name="Nacionalidades " sheetId="28" r:id="rId28"/>
    <sheet name="Distribución Nacionalidades" sheetId="29" r:id="rId29"/>
    <sheet name="graf. dist NACIONALIDADES AÑO" sheetId="30" r:id="rId30"/>
    <sheet name="graf. dist NACIONALIDADES" sheetId="31" r:id="rId31"/>
    <sheet name="Nacionalidad-Alojamiento(datos)" sheetId="32" r:id="rId32"/>
    <sheet name="EVOLUCIÓN NACIO CATEGORIA " sheetId="33" r:id="rId33"/>
    <sheet name="nacionalidades distribucion alo" sheetId="34" r:id="rId34"/>
    <sheet name="Nacionalidad-Alojamiento" sheetId="35" r:id="rId35"/>
    <sheet name="Nacionalidad-evolución cuota" sheetId="36" r:id="rId36"/>
    <sheet name="Alojados evol mensual" sheetId="37" r:id="rId37"/>
    <sheet name="Gráfico alojados mensual" sheetId="38" r:id="rId38"/>
    <sheet name="Menú Pernoctaciones" sheetId="39" r:id="rId39"/>
    <sheet name="Tablas PERNOCTA zona" sheetId="40" r:id="rId40"/>
    <sheet name="evoución PERNOCTA zona" sheetId="41" r:id="rId41"/>
    <sheet name="tablas pernocta cat ev anual" sheetId="42" r:id="rId42"/>
    <sheet name="evolución pernocta cat ev anual" sheetId="43" r:id="rId43"/>
    <sheet name="Pernoctaciones tipología" sheetId="44" r:id="rId44"/>
    <sheet name="Pernoctaciones  tipolog y categ" sheetId="45" r:id="rId45"/>
    <sheet name="Gráfica pernoct tipolog" sheetId="46" r:id="rId46"/>
    <sheet name="Pernoctacion mensual" sheetId="47" r:id="rId47"/>
    <sheet name="Gráfica pernoctaciones mensual" sheetId="48" r:id="rId48"/>
    <sheet name="Menú IO" sheetId="49" r:id="rId49"/>
    <sheet name="Tablas evol IO zona" sheetId="50" r:id="rId50"/>
    <sheet name="evolución IO zona" sheetId="51" r:id="rId51"/>
    <sheet name="tablas evol IO CAT " sheetId="52" r:id="rId52"/>
    <sheet name="evolución IO CAT " sheetId="53" r:id="rId53"/>
    <sheet name="IO Tipología" sheetId="54" r:id="rId54"/>
    <sheet name="IO zona y Tipología " sheetId="55" r:id="rId55"/>
    <sheet name="gráfica IO zonas y tipologí " sheetId="56" r:id="rId56"/>
    <sheet name="IO tipología y categoría" sheetId="57" r:id="rId57"/>
    <sheet name="gráfica IO tipología" sheetId="58" r:id="rId58"/>
    <sheet name="IO evolución mensual" sheetId="59" r:id="rId59"/>
    <sheet name="gráfica IO mensual" sheetId="60" r:id="rId60"/>
    <sheet name="Menú EM" sheetId="61" r:id="rId61"/>
    <sheet name="Tablas evol EM zona" sheetId="62" r:id="rId62"/>
    <sheet name="tablas evol EM CAT" sheetId="63" r:id="rId63"/>
    <sheet name="evolución EM CAT" sheetId="64" r:id="rId64"/>
    <sheet name="EM Tipología" sheetId="65" r:id="rId65"/>
    <sheet name="EM zonas y tipología " sheetId="66" r:id="rId66"/>
    <sheet name="gráfico EM zona y tipología" sheetId="67" r:id="rId67"/>
    <sheet name="EM tipología y categoría" sheetId="68" r:id="rId68"/>
    <sheet name="Gráfica EM tipología" sheetId="69" r:id="rId69"/>
    <sheet name="EM evolución mensual" sheetId="70" r:id="rId70"/>
    <sheet name="Gráfica evolución mensual EM" sheetId="71" r:id="rId71"/>
    <sheet name="Menú municipios turísticos" sheetId="72" r:id="rId72"/>
    <sheet name="Alojados por municipio" sheetId="73" r:id="rId73"/>
    <sheet name="Gráfica alojados municipio" sheetId="74" r:id="rId74"/>
    <sheet name="Alojados tipología y categoría" sheetId="75" r:id="rId75"/>
    <sheet name="Gráfico aloj tipolog y categorí" sheetId="76" r:id="rId76"/>
    <sheet name="Pernoctaciones munic y tipologí" sheetId="77" r:id="rId77"/>
    <sheet name="Gráfica pernoct munic tipología" sheetId="78" r:id="rId78"/>
    <sheet name="pernocta municipio y catego" sheetId="79" r:id="rId79"/>
    <sheet name="Gráfico pernocta munic y cate" sheetId="80" r:id="rId80"/>
    <sheet name="IO municipio y Tipología" sheetId="81" r:id="rId81"/>
    <sheet name="gráfica IO MUNICIPI y tipología" sheetId="82" r:id="rId82"/>
    <sheet name="IO municipio y catego" sheetId="83" r:id="rId83"/>
    <sheet name="Gráfico IOa munic y ca " sheetId="84" r:id="rId84"/>
    <sheet name="EM MUNICIPIO y tipología" sheetId="85" r:id="rId85"/>
    <sheet name="gráfico EM MUNICIPI y tipología" sheetId="86" r:id="rId86"/>
    <sheet name="EM municipio y catego" sheetId="87" r:id="rId87"/>
    <sheet name="Gráfico EM munic y ca " sheetId="88" r:id="rId88"/>
    <sheet name="Nacionalidad-Zona (datos)" sheetId="89" r:id="rId89"/>
    <sheet name="evolucion nac zonas" sheetId="90" r:id="rId90"/>
    <sheet name="Nacionalidad-Zona" sheetId="91" r:id="rId91"/>
    <sheet name="Menú Oferta Alojativa" sheetId="92" r:id="rId92"/>
    <sheet name="Ofe Aloj Estim zona cat " sheetId="93" r:id="rId93"/>
    <sheet name="Graf plazas estim zona tipologí" sheetId="94" r:id="rId94"/>
    <sheet name="Oferta Alojat Estim tipol categ" sheetId="95" r:id="rId95"/>
    <sheet name="Gráfica plazas estim tipo categ" sheetId="96" r:id="rId96"/>
    <sheet name="Gráfica distrib plazas est tipo" sheetId="97" r:id="rId97"/>
    <sheet name="Menú plazas autorizadas" sheetId="98" r:id="rId98"/>
    <sheet name="Plazas Autorizadas tipología" sheetId="99" r:id="rId99"/>
    <sheet name="Gráfic Plazas Autoriz tipología" sheetId="100" r:id="rId100"/>
    <sheet name="Cuotas Plazas Autorizadas05" sheetId="101" r:id="rId101"/>
    <sheet name="Distrib Plazas Autor 03_04-05" sheetId="102" r:id="rId102"/>
    <sheet name="Gráfica Distrib Plazas Autoriza" sheetId="103" r:id="rId103"/>
    <sheet name="Hoja1" sheetId="104" state="hidden" r:id="rId104"/>
    <sheet name="actualizaciones" sheetId="105" state="hidden" r:id="rId105"/>
  </sheets>
  <externalReferences>
    <externalReference r:id="rId106"/>
    <externalReference r:id="rId107"/>
    <externalReference r:id="rId108"/>
  </externalReferences>
  <definedNames>
    <definedName name="_eoh05" localSheetId="69">#REF!</definedName>
    <definedName name="_eoh05" localSheetId="63">#REF!</definedName>
    <definedName name="_eoh05" localSheetId="30">#REF!</definedName>
    <definedName name="_eoh05" localSheetId="29">#REF!</definedName>
    <definedName name="_eoh05" localSheetId="73">#REF!</definedName>
    <definedName name="_eoh05" localSheetId="55">#REF!</definedName>
    <definedName name="_eoh05" localSheetId="54">#REF!</definedName>
    <definedName name="_eoh05" localSheetId="17">#REF!</definedName>
    <definedName name="_eoh05" localSheetId="24">#REF!</definedName>
    <definedName name="_eoh05" localSheetId="2">#REF!</definedName>
    <definedName name="_eoh05" localSheetId="9">#REF!</definedName>
    <definedName name="_eoh05" localSheetId="62">#REF!</definedName>
    <definedName name="_eoh05" localSheetId="61">#REF!</definedName>
    <definedName name="_eoh05" localSheetId="51">#REF!</definedName>
    <definedName name="_eoh05" localSheetId="49">#REF!</definedName>
    <definedName name="_eoh05" localSheetId="41">#REF!</definedName>
    <definedName name="_eoh05" localSheetId="39">#REF!</definedName>
    <definedName name="_eoh05">#REF!</definedName>
    <definedName name="_eoh06" localSheetId="69">#REF!</definedName>
    <definedName name="_eoh06" localSheetId="63">#REF!</definedName>
    <definedName name="_eoh06" localSheetId="30">#REF!</definedName>
    <definedName name="_eoh06" localSheetId="29">#REF!</definedName>
    <definedName name="_eoh06" localSheetId="73">#REF!</definedName>
    <definedName name="_eoh06" localSheetId="55">#REF!</definedName>
    <definedName name="_eoh06" localSheetId="54">#REF!</definedName>
    <definedName name="_eoh06" localSheetId="17">#REF!</definedName>
    <definedName name="_eoh06" localSheetId="24">#REF!</definedName>
    <definedName name="_eoh06" localSheetId="2">#REF!</definedName>
    <definedName name="_eoh06" localSheetId="9">#REF!</definedName>
    <definedName name="_eoh06" localSheetId="62">#REF!</definedName>
    <definedName name="_eoh06" localSheetId="61">#REF!</definedName>
    <definedName name="_eoh06" localSheetId="51">#REF!</definedName>
    <definedName name="_eoh06" localSheetId="49">#REF!</definedName>
    <definedName name="_eoh06" localSheetId="41">#REF!</definedName>
    <definedName name="_eoh06" localSheetId="39">#REF!</definedName>
    <definedName name="_eoh06">#REF!</definedName>
    <definedName name="_xlnm.Print_Area" localSheetId="36">'Alojados evol mensual'!$B$6:$F$73</definedName>
    <definedName name="_xlnm.Print_Area" localSheetId="72">'Alojados por municipio'!$B$6:$G$28</definedName>
    <definedName name="_xlnm.Print_Area" localSheetId="3">'Alojados tipología'!$C$10:$H$15</definedName>
    <definedName name="_xlnm.Print_Area" localSheetId="74">'Alojados tipología y categoría'!$B$7:$N$33</definedName>
    <definedName name="_xlnm.Print_Area" localSheetId="10">'Alojados zona tipología'!$C$3:$H$17</definedName>
    <definedName name="_xlnm.Print_Area" localSheetId="100">'Cuotas Plazas Autorizadas05'!$C$5:$M$40</definedName>
    <definedName name="_xlnm.Print_Area" localSheetId="101">'Distrib Plazas Autor 03_04-05'!$C$6:$I$62</definedName>
    <definedName name="_xlnm.Print_Area" localSheetId="28">'Distribución Nacionalidades'!$C$4:$E$29</definedName>
    <definedName name="_xlnm.Print_Area" localSheetId="69">'EM evolución mensual'!$B$6:$F$73</definedName>
    <definedName name="_xlnm.Print_Area" localSheetId="86">'EM municipio y catego'!$B$7:$J$33</definedName>
    <definedName name="_xlnm.Print_Area" localSheetId="84">'EM MUNICIPIO y tipología'!$B$6:$E$28</definedName>
    <definedName name="_xlnm.Print_Area" localSheetId="64">'EM Tipología'!$C$10:$F$15</definedName>
    <definedName name="_xlnm.Print_Area" localSheetId="67">'EM tipología y categoría'!$B$6:$E$18</definedName>
    <definedName name="_xlnm.Print_Area" localSheetId="65">'EM zonas y tipología '!$B$6:$E$20</definedName>
    <definedName name="_xlnm.Print_Area" localSheetId="63">'evolución EM CAT'!$C$3:$J$57</definedName>
    <definedName name="_xlnm.Print_Area" localSheetId="52">'evolución IO CAT '!$C$3:$J$57</definedName>
    <definedName name="_xlnm.Print_Area" localSheetId="50">'evolución IO zona'!$C$3:$L$58</definedName>
    <definedName name="_xlnm.Print_Area" localSheetId="89">'evolucion nac zonas'!$B$5:$G$31</definedName>
    <definedName name="_xlnm.Print_Area" localSheetId="32">'EVOLUCIÓN NACIO CATEGORIA '!$B$4:$I$31</definedName>
    <definedName name="_xlnm.Print_Area" localSheetId="42">'evolución pernocta cat ev anual'!$C$3:$J$57</definedName>
    <definedName name="_xlnm.Print_Area" localSheetId="40">'evoución PERNOCTA zona'!$C$3:$L$58</definedName>
    <definedName name="_xlnm.Print_Area" localSheetId="93">'Graf plazas estim zona tipologí'!$B$4:$J$54</definedName>
    <definedName name="_xlnm.Print_Area" localSheetId="21">'graf. dist cate periodo act'!$B$2:$I$22</definedName>
    <definedName name="_xlnm.Print_Area" localSheetId="20">'graf. dist cate ultimo año'!$C$2:$J$21</definedName>
    <definedName name="_xlnm.Print_Area" localSheetId="30">'graf. dist NACIONALIDADES'!$B$2:$J$45</definedName>
    <definedName name="_xlnm.Print_Area" localSheetId="29">'graf. dist NACIONALIDADES AÑO'!$B$2:$J$44</definedName>
    <definedName name="_xlnm.Print_Area" localSheetId="99">'Gráfic Plazas Autoriz tipología'!$C$2:$J$27</definedName>
    <definedName name="_xlnm.Print_Area" localSheetId="73">'Gráfica alojados municipio'!$B$4:$J$29</definedName>
    <definedName name="_xlnm.Print_Area" localSheetId="102">'Gráfica Distrib Plazas Autoriza'!$B$4:$P$42</definedName>
    <definedName name="_xlnm.Print_Area" localSheetId="96">'Gráfica distrib plazas est tipo'!$B$2:$P$76</definedName>
    <definedName name="_xlnm.Print_Area" localSheetId="68">'Gráfica EM tipología'!$B$4:$J$26</definedName>
    <definedName name="_xlnm.Print_Area" localSheetId="5">'grafica evolución alo x tip'!$C$2:$J$23</definedName>
    <definedName name="_xlnm.Print_Area" localSheetId="70">'Gráfica evolución mensual EM'!$C$4:$K$27</definedName>
    <definedName name="_xlnm.Print_Area" localSheetId="19">'grafica evolucion por categoria'!$C$2:$K$23</definedName>
    <definedName name="_xlnm.Print_Area" localSheetId="59">'gráfica IO mensual'!$B$5:$J$31</definedName>
    <definedName name="_xlnm.Print_Area" localSheetId="81">'gráfica IO MUNICIPI y tipología'!$B$3:$J$25</definedName>
    <definedName name="_xlnm.Print_Area" localSheetId="57">'gráfica IO tipología'!$B$5:$J$29</definedName>
    <definedName name="_xlnm.Print_Area" localSheetId="55">'gráfica IO zonas y tipologí '!$B$3:$J$25</definedName>
    <definedName name="_xlnm.Print_Area" localSheetId="77">'Gráfica pernoct munic tipología'!$B$4:$J$29</definedName>
    <definedName name="_xlnm.Print_Area" localSheetId="45">'Gráfica pernoct tipolog'!$B$4:$J$28</definedName>
    <definedName name="_xlnm.Print_Area" localSheetId="47">'Gráfica pernoctaciones mensual'!$B$4:$J$28</definedName>
    <definedName name="_xlnm.Print_Area" localSheetId="95">'Gráfica plazas estim tipo categ'!$B$2:$R$89</definedName>
    <definedName name="_xlnm.Print_Area" localSheetId="15">'grafica zona mensual'!$C$2:$J$62</definedName>
    <definedName name="_xlnm.Print_Area" localSheetId="25">'graficas evol mensual merc'!$B$2:$N$73,'graficas evol mensual merc'!$B$76:$N$145,'graficas evol mensual merc'!$B$148:$N$217,'graficas evol mensual merc'!$B$220:$N$289</definedName>
    <definedName name="_xlnm.Print_Area" localSheetId="75">'Gráfico aloj tipolog y categorí'!$B$5:$Q$39</definedName>
    <definedName name="_xlnm.Print_Area" localSheetId="37">'Gráfico alojados mensual'!$B$3:$K$28</definedName>
    <definedName name="_xlnm.Print_Area" localSheetId="11">'Gráfico alojados zona y tipolog'!$B$2:$J$25</definedName>
    <definedName name="_xlnm.Print_Area" localSheetId="87">'Gráfico EM munic y ca '!$B$5:$Q$39</definedName>
    <definedName name="_xlnm.Print_Area" localSheetId="85">'gráfico EM MUNICIPI y tipología'!$B$2:$J$26</definedName>
    <definedName name="_xlnm.Print_Area" localSheetId="66">'gráfico EM zona y tipología'!$B$2:$J$26</definedName>
    <definedName name="_xlnm.Print_Area" localSheetId="83">'Gráfico IOa munic y ca '!$B$5:$Q$39</definedName>
    <definedName name="_xlnm.Print_Area" localSheetId="79">'Gráfico pernocta munic y cate'!$B$5:$Q$39</definedName>
    <definedName name="_xlnm.Print_Area" localSheetId="58">'IO evolución mensual'!$B$6:$F$73</definedName>
    <definedName name="_xlnm.Print_Area" localSheetId="82">'IO municipio y catego'!$B$7:$J$33</definedName>
    <definedName name="_xlnm.Print_Area" localSheetId="80">'IO municipio y Tipología'!$B$6:$E$28</definedName>
    <definedName name="_xlnm.Print_Area" localSheetId="53">'IO Tipología'!$C$7:$F$12</definedName>
    <definedName name="_xlnm.Print_Area" localSheetId="56">'IO tipología y categoría'!$B$7:$E$19</definedName>
    <definedName name="_xlnm.Print_Area" localSheetId="54">'IO zona y Tipología '!$B$6:$E$20</definedName>
    <definedName name="_xlnm.Print_Area" localSheetId="17">'Menú categoría-tipología'!$D$6:$G$29</definedName>
    <definedName name="_xlnm.Print_Area" localSheetId="60">'Menú EM'!$D$7:$G$32</definedName>
    <definedName name="_xlnm.Print_Area" localSheetId="48">'Menú IO'!$C$8:$F$33</definedName>
    <definedName name="_xlnm.Print_Area" localSheetId="71">'Menú municipios turísticos'!$D$8:$G$34</definedName>
    <definedName name="_xlnm.Print_Area" localSheetId="24">'Menú nacionalidades'!$D$6:$G$35</definedName>
    <definedName name="_xlnm.Print_Area" localSheetId="91">'Menú Oferta Alojativa'!$D$8:$G$19</definedName>
    <definedName name="_xlnm.Print_Area" localSheetId="38">'Menú Pernoctaciones'!$C$5:$F$31</definedName>
    <definedName name="_xlnm.Print_Area" localSheetId="97">'Menú plazas autorizadas'!$D$7:$F$18</definedName>
    <definedName name="_xlnm.Print_Area" localSheetId="0">'Menú Principal'!$C$4:$G$22</definedName>
    <definedName name="_xlnm.Print_Area" localSheetId="2">'Menú tipología de establecimien'!$D$6:$G$25</definedName>
    <definedName name="_xlnm.Print_Area" localSheetId="1">'Menú Turismo alojado'!$D$6:$G$20</definedName>
    <definedName name="_xlnm.Print_Area" localSheetId="9">'Menú zonas y tipología'!$D$6:$G$27</definedName>
    <definedName name="_xlnm.Print_Area" localSheetId="34">'Nacionalidad-Alojamiento'!$B$7:$I$34</definedName>
    <definedName name="_xlnm.Print_Area" localSheetId="31">'Nacionalidad-Alojamiento(datos)'!$B$7:$I$34</definedName>
    <definedName name="_xlnm.Print_Area" localSheetId="27">'Nacionalidades '!$C$4:$G$29</definedName>
    <definedName name="_xlnm.Print_Area" localSheetId="26">'Nacionalidades  evolución mensu'!$B$5:$AV$71</definedName>
    <definedName name="_xlnm.Print_Area" localSheetId="33">'nacionalidades distribucion alo'!$B$5:$I$32</definedName>
    <definedName name="_xlnm.Print_Area" localSheetId="35">'Nacionalidad-evolución cuota'!$B$5:$Y$71</definedName>
    <definedName name="_xlnm.Print_Area" localSheetId="90">'Nacionalidad-Zona'!$B$6:$G$32</definedName>
    <definedName name="_xlnm.Print_Area" localSheetId="88">'Nacionalidad-Zona (datos)'!$B$6:$G$32</definedName>
    <definedName name="_xlnm.Print_Area" localSheetId="92">'Ofe Aloj Estim zona cat '!$B$6:$N$40</definedName>
    <definedName name="_xlnm.Print_Area" localSheetId="94">'Oferta Alojat Estim tipol categ'!$C$6:$O$51</definedName>
    <definedName name="_xlnm.Print_Area" localSheetId="78">'pernocta municipio y catego'!$B$7:$N$33</definedName>
    <definedName name="_xlnm.Print_Area" localSheetId="46">'Pernoctacion mensual'!$B$6:$F$73</definedName>
    <definedName name="_xlnm.Print_Area" localSheetId="44">'Pernoctaciones  tipolog y categ'!$B$7:$G$19</definedName>
    <definedName name="_xlnm.Print_Area" localSheetId="76">'Pernoctaciones munic y tipologí'!$B$6:$G$28</definedName>
    <definedName name="_xlnm.Print_Area" localSheetId="43">'Pernoctaciones tipología'!$B$11:$G$17</definedName>
    <definedName name="_xlnm.Print_Area" localSheetId="98">'Plazas Autorizadas tipología'!$C$4:$H$39</definedName>
    <definedName name="_xlnm.Print_Area" localSheetId="23">'tab,Evolución mensual categoría'!$C$3:$J$39</definedName>
    <definedName name="_xlnm.Print_Area" localSheetId="4">'tab. Turistas alojados tip'!$C$3:$F$70</definedName>
    <definedName name="_xlnm.Print_Area" localSheetId="7">'tab.Evolución mensual tipología'!$C$3:$F$38</definedName>
    <definedName name="_xlnm.Print_Area" localSheetId="16">'Tablas Evo. mens. zonas y TIPO'!$C$3:$R$58</definedName>
    <definedName name="_xlnm.Print_Area" localSheetId="62">'tablas evol EM CAT'!$C$3:$J$70</definedName>
    <definedName name="_xlnm.Print_Area" localSheetId="61">'Tablas evol EM zona'!$C$3:$L$71</definedName>
    <definedName name="_xlnm.Print_Area" localSheetId="51">'tablas evol IO CAT '!$C$3:$J$70</definedName>
    <definedName name="_xlnm.Print_Area" localSheetId="49">'Tablas evol IO zona'!$C$3:$L$71</definedName>
    <definedName name="_xlnm.Print_Area" localSheetId="41">'tablas pernocta cat ev anual'!$C$3:$J$70</definedName>
    <definedName name="_xlnm.Print_Area" localSheetId="39">'Tablas PERNOCTA zona'!$C$3:$L$71</definedName>
    <definedName name="_xlnm.Print_Area" localSheetId="18">'tablas turistas por categorías '!$C$3:$J$70</definedName>
    <definedName name="_xlnm.Print_Area" localSheetId="8">'tablas turistas por Temporada'!$C$3:$G$26</definedName>
    <definedName name="_xlnm.Print_Area" localSheetId="12">'Tablas turistas zona y tip.'!$C$3:$L$72</definedName>
    <definedName name="_xlnm.Print_Area" localSheetId="14">'tablas Zonas mensual '!$C$3:$J$55</definedName>
    <definedName name="_xlnm.Print_Area" localSheetId="6">'var evolu x tipolo'!$C$3:$F$58</definedName>
    <definedName name="_xlnm.Print_Area" localSheetId="22">'VARIACIÓN EVOL POR CATEGORIA'!$B$3:$I$57</definedName>
    <definedName name="_xlnm.Print_Area" localSheetId="13">'variación x zonas tipo '!$B$3:$K$58</definedName>
    <definedName name="CANARIAS" localSheetId="69">#REF!</definedName>
    <definedName name="CANARIAS" localSheetId="63">#REF!</definedName>
    <definedName name="CANARIAS" localSheetId="30">#REF!</definedName>
    <definedName name="CANARIAS" localSheetId="29">#REF!</definedName>
    <definedName name="CANARIAS" localSheetId="73">#REF!</definedName>
    <definedName name="CANARIAS" localSheetId="55">#REF!</definedName>
    <definedName name="CANARIAS" localSheetId="54">#REF!</definedName>
    <definedName name="CANARIAS" localSheetId="17">#REF!</definedName>
    <definedName name="CANARIAS" localSheetId="24">#REF!</definedName>
    <definedName name="CANARIAS" localSheetId="2">#REF!</definedName>
    <definedName name="CANARIAS" localSheetId="9">#REF!</definedName>
    <definedName name="CANARIAS" localSheetId="62">#REF!</definedName>
    <definedName name="CANARIAS" localSheetId="61">#REF!</definedName>
    <definedName name="CANARIAS" localSheetId="51">#REF!</definedName>
    <definedName name="CANARIAS" localSheetId="49">#REF!</definedName>
    <definedName name="CANARIAS" localSheetId="41">#REF!</definedName>
    <definedName name="CANARIAS" localSheetId="39">#REF!</definedName>
    <definedName name="CANARIAS">#REF!</definedName>
    <definedName name="eoap05" localSheetId="69">#REF!</definedName>
    <definedName name="eoap05" localSheetId="63">#REF!</definedName>
    <definedName name="eoap05" localSheetId="30">#REF!</definedName>
    <definedName name="eoap05" localSheetId="29">#REF!</definedName>
    <definedName name="eoap05" localSheetId="73">#REF!</definedName>
    <definedName name="eoap05" localSheetId="55">#REF!</definedName>
    <definedName name="eoap05" localSheetId="54">#REF!</definedName>
    <definedName name="eoap05" localSheetId="17">#REF!</definedName>
    <definedName name="eoap05" localSheetId="24">#REF!</definedName>
    <definedName name="eoap05" localSheetId="2">#REF!</definedName>
    <definedName name="eoap05" localSheetId="9">#REF!</definedName>
    <definedName name="eoap05" localSheetId="62">#REF!</definedName>
    <definedName name="eoap05" localSheetId="61">#REF!</definedName>
    <definedName name="eoap05" localSheetId="51">#REF!</definedName>
    <definedName name="eoap05" localSheetId="49">#REF!</definedName>
    <definedName name="eoap05" localSheetId="41">#REF!</definedName>
    <definedName name="eoap05" localSheetId="39">#REF!</definedName>
    <definedName name="eoap05">#REF!</definedName>
    <definedName name="EOAP05B" localSheetId="69">#REF!</definedName>
    <definedName name="EOAP05B" localSheetId="63">#REF!</definedName>
    <definedName name="EOAP05B" localSheetId="30">#REF!</definedName>
    <definedName name="EOAP05B" localSheetId="29">#REF!</definedName>
    <definedName name="EOAP05B" localSheetId="73">#REF!</definedName>
    <definedName name="EOAP05B" localSheetId="55">#REF!</definedName>
    <definedName name="EOAP05B" localSheetId="54">#REF!</definedName>
    <definedName name="EOAP05B" localSheetId="17">#REF!</definedName>
    <definedName name="EOAP05B" localSheetId="24">#REF!</definedName>
    <definedName name="EOAP05B" localSheetId="2">#REF!</definedName>
    <definedName name="EOAP05B" localSheetId="9">#REF!</definedName>
    <definedName name="EOAP05B" localSheetId="62">#REF!</definedName>
    <definedName name="EOAP05B" localSheetId="61">#REF!</definedName>
    <definedName name="EOAP05B" localSheetId="51">#REF!</definedName>
    <definedName name="EOAP05B" localSheetId="49">#REF!</definedName>
    <definedName name="EOAP05B" localSheetId="41">#REF!</definedName>
    <definedName name="EOAP05B" localSheetId="39">#REF!</definedName>
    <definedName name="EOAP05B">#REF!</definedName>
    <definedName name="eoap06" localSheetId="69">#REF!</definedName>
    <definedName name="eoap06" localSheetId="63">#REF!</definedName>
    <definedName name="eoap06" localSheetId="30">#REF!</definedName>
    <definedName name="eoap06" localSheetId="29">#REF!</definedName>
    <definedName name="eoap06" localSheetId="73">#REF!</definedName>
    <definedName name="eoap06" localSheetId="55">#REF!</definedName>
    <definedName name="eoap06" localSheetId="54">#REF!</definedName>
    <definedName name="eoap06" localSheetId="17">#REF!</definedName>
    <definedName name="eoap06" localSheetId="24">#REF!</definedName>
    <definedName name="eoap06" localSheetId="2">#REF!</definedName>
    <definedName name="eoap06" localSheetId="9">#REF!</definedName>
    <definedName name="eoap06" localSheetId="62">#REF!</definedName>
    <definedName name="eoap06" localSheetId="61">#REF!</definedName>
    <definedName name="eoap06" localSheetId="51">#REF!</definedName>
    <definedName name="eoap06" localSheetId="49">#REF!</definedName>
    <definedName name="eoap06" localSheetId="41">#REF!</definedName>
    <definedName name="eoap06" localSheetId="39">#REF!</definedName>
    <definedName name="eoap06">#REF!</definedName>
    <definedName name="EOAP06B" localSheetId="69">#REF!</definedName>
    <definedName name="EOAP06B" localSheetId="63">#REF!</definedName>
    <definedName name="EOAP06B" localSheetId="30">#REF!</definedName>
    <definedName name="EOAP06B" localSheetId="29">#REF!</definedName>
    <definedName name="EOAP06B" localSheetId="73">#REF!</definedName>
    <definedName name="EOAP06B" localSheetId="55">#REF!</definedName>
    <definedName name="EOAP06B" localSheetId="54">#REF!</definedName>
    <definedName name="EOAP06B" localSheetId="17">#REF!</definedName>
    <definedName name="EOAP06B" localSheetId="24">#REF!</definedName>
    <definedName name="EOAP06B" localSheetId="2">#REF!</definedName>
    <definedName name="EOAP06B" localSheetId="9">#REF!</definedName>
    <definedName name="EOAP06B" localSheetId="62">#REF!</definedName>
    <definedName name="EOAP06B" localSheetId="61">#REF!</definedName>
    <definedName name="EOAP06B" localSheetId="51">#REF!</definedName>
    <definedName name="EOAP06B" localSheetId="49">#REF!</definedName>
    <definedName name="EOAP06B" localSheetId="41">#REF!</definedName>
    <definedName name="EOAP06B" localSheetId="39">#REF!</definedName>
    <definedName name="EOAP06B">#REF!</definedName>
    <definedName name="eoh05B" localSheetId="69">#REF!</definedName>
    <definedName name="eoh05B" localSheetId="63">#REF!</definedName>
    <definedName name="eoh05B" localSheetId="30">#REF!</definedName>
    <definedName name="eoh05B" localSheetId="29">#REF!</definedName>
    <definedName name="eoh05B" localSheetId="73">#REF!</definedName>
    <definedName name="eoh05B" localSheetId="55">#REF!</definedName>
    <definedName name="eoh05B" localSheetId="54">#REF!</definedName>
    <definedName name="eoh05B" localSheetId="17">#REF!</definedName>
    <definedName name="eoh05B" localSheetId="24">#REF!</definedName>
    <definedName name="eoh05B" localSheetId="2">#REF!</definedName>
    <definedName name="eoh05B" localSheetId="9">#REF!</definedName>
    <definedName name="eoh05B" localSheetId="62">#REF!</definedName>
    <definedName name="eoh05B" localSheetId="61">#REF!</definedName>
    <definedName name="eoh05B" localSheetId="51">#REF!</definedName>
    <definedName name="eoh05B" localSheetId="49">#REF!</definedName>
    <definedName name="eoh05B" localSheetId="41">#REF!</definedName>
    <definedName name="eoh05B" localSheetId="39">#REF!</definedName>
    <definedName name="eoh05B">#REF!</definedName>
    <definedName name="eoh06B" localSheetId="69">#REF!</definedName>
    <definedName name="eoh06B" localSheetId="63">#REF!</definedName>
    <definedName name="eoh06B" localSheetId="30">#REF!</definedName>
    <definedName name="eoh06B" localSheetId="29">#REF!</definedName>
    <definedName name="eoh06B" localSheetId="73">#REF!</definedName>
    <definedName name="eoh06B" localSheetId="55">#REF!</definedName>
    <definedName name="eoh06B" localSheetId="54">#REF!</definedName>
    <definedName name="eoh06B" localSheetId="17">#REF!</definedName>
    <definedName name="eoh06B" localSheetId="24">#REF!</definedName>
    <definedName name="eoh06B" localSheetId="2">#REF!</definedName>
    <definedName name="eoh06B" localSheetId="9">#REF!</definedName>
    <definedName name="eoh06B" localSheetId="62">#REF!</definedName>
    <definedName name="eoh06B" localSheetId="61">#REF!</definedName>
    <definedName name="eoh06B" localSheetId="51">#REF!</definedName>
    <definedName name="eoh06B" localSheetId="49">#REF!</definedName>
    <definedName name="eoh06B" localSheetId="41">#REF!</definedName>
    <definedName name="eoh06B" localSheetId="39">#REF!</definedName>
    <definedName name="eoh06B">#REF!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FT" localSheetId="69">#REF!</definedName>
    <definedName name="FT" localSheetId="63">#REF!</definedName>
    <definedName name="FT" localSheetId="30">#REF!</definedName>
    <definedName name="FT" localSheetId="29">#REF!</definedName>
    <definedName name="FT" localSheetId="73">#REF!</definedName>
    <definedName name="FT" localSheetId="55">#REF!</definedName>
    <definedName name="FT" localSheetId="54">#REF!</definedName>
    <definedName name="FT" localSheetId="17">#REF!</definedName>
    <definedName name="FT" localSheetId="24">#REF!</definedName>
    <definedName name="FT" localSheetId="2">#REF!</definedName>
    <definedName name="FT" localSheetId="9">#REF!</definedName>
    <definedName name="FT" localSheetId="62">#REF!</definedName>
    <definedName name="FT" localSheetId="61">#REF!</definedName>
    <definedName name="FT" localSheetId="51">#REF!</definedName>
    <definedName name="FT" localSheetId="49">#REF!</definedName>
    <definedName name="FT" localSheetId="41">#REF!</definedName>
    <definedName name="FT" localSheetId="39">#REF!</definedName>
    <definedName name="FT">#REF!</definedName>
    <definedName name="GC" localSheetId="69">#REF!</definedName>
    <definedName name="GC" localSheetId="63">#REF!</definedName>
    <definedName name="GC" localSheetId="30">#REF!</definedName>
    <definedName name="GC" localSheetId="29">#REF!</definedName>
    <definedName name="GC" localSheetId="73">#REF!</definedName>
    <definedName name="GC" localSheetId="55">#REF!</definedName>
    <definedName name="GC" localSheetId="54">#REF!</definedName>
    <definedName name="GC" localSheetId="17">#REF!</definedName>
    <definedName name="GC" localSheetId="24">#REF!</definedName>
    <definedName name="GC" localSheetId="2">#REF!</definedName>
    <definedName name="GC" localSheetId="9">#REF!</definedName>
    <definedName name="GC" localSheetId="62">#REF!</definedName>
    <definedName name="GC" localSheetId="61">#REF!</definedName>
    <definedName name="GC" localSheetId="51">#REF!</definedName>
    <definedName name="GC" localSheetId="49">#REF!</definedName>
    <definedName name="GC" localSheetId="41">#REF!</definedName>
    <definedName name="GC" localSheetId="39">#REF!</definedName>
    <definedName name="GC">#REF!</definedName>
    <definedName name="IPH" localSheetId="69">#REF!</definedName>
    <definedName name="IPH" localSheetId="63">#REF!</definedName>
    <definedName name="IPH" localSheetId="30">#REF!</definedName>
    <definedName name="IPH" localSheetId="29">#REF!</definedName>
    <definedName name="IPH" localSheetId="73">#REF!</definedName>
    <definedName name="IPH" localSheetId="55">#REF!</definedName>
    <definedName name="IPH" localSheetId="54">#REF!</definedName>
    <definedName name="IPH" localSheetId="17">#REF!</definedName>
    <definedName name="IPH" localSheetId="24">#REF!</definedName>
    <definedName name="IPH" localSheetId="2">#REF!</definedName>
    <definedName name="IPH" localSheetId="9">#REF!</definedName>
    <definedName name="IPH" localSheetId="62">#REF!</definedName>
    <definedName name="IPH" localSheetId="61">#REF!</definedName>
    <definedName name="IPH" localSheetId="51">#REF!</definedName>
    <definedName name="IPH" localSheetId="49">#REF!</definedName>
    <definedName name="IPH" localSheetId="41">#REF!</definedName>
    <definedName name="IPH" localSheetId="39">#REF!</definedName>
    <definedName name="IPH">#REF!</definedName>
    <definedName name="LP" localSheetId="69">#REF!</definedName>
    <definedName name="LP" localSheetId="63">#REF!</definedName>
    <definedName name="LP" localSheetId="30">#REF!</definedName>
    <definedName name="LP" localSheetId="29">#REF!</definedName>
    <definedName name="LP" localSheetId="73">#REF!</definedName>
    <definedName name="LP" localSheetId="55">#REF!</definedName>
    <definedName name="LP" localSheetId="54">#REF!</definedName>
    <definedName name="LP" localSheetId="17">#REF!</definedName>
    <definedName name="LP" localSheetId="24">#REF!</definedName>
    <definedName name="LP" localSheetId="2">#REF!</definedName>
    <definedName name="LP" localSheetId="9">#REF!</definedName>
    <definedName name="LP" localSheetId="62">#REF!</definedName>
    <definedName name="LP" localSheetId="61">#REF!</definedName>
    <definedName name="LP" localSheetId="51">#REF!</definedName>
    <definedName name="LP" localSheetId="49">#REF!</definedName>
    <definedName name="LP" localSheetId="41">#REF!</definedName>
    <definedName name="LP" localSheetId="39">#REF!</definedName>
    <definedName name="LP">#REF!</definedName>
    <definedName name="LZ" localSheetId="69">#REF!</definedName>
    <definedName name="LZ" localSheetId="63">#REF!</definedName>
    <definedName name="LZ" localSheetId="30">#REF!</definedName>
    <definedName name="LZ" localSheetId="29">#REF!</definedName>
    <definedName name="LZ" localSheetId="73">#REF!</definedName>
    <definedName name="LZ" localSheetId="55">#REF!</definedName>
    <definedName name="LZ" localSheetId="54">#REF!</definedName>
    <definedName name="LZ" localSheetId="17">#REF!</definedName>
    <definedName name="LZ" localSheetId="24">#REF!</definedName>
    <definedName name="LZ" localSheetId="2">#REF!</definedName>
    <definedName name="LZ" localSheetId="9">#REF!</definedName>
    <definedName name="LZ" localSheetId="62">#REF!</definedName>
    <definedName name="LZ" localSheetId="61">#REF!</definedName>
    <definedName name="LZ" localSheetId="51">#REF!</definedName>
    <definedName name="LZ" localSheetId="49">#REF!</definedName>
    <definedName name="LZ" localSheetId="41">#REF!</definedName>
    <definedName name="LZ" localSheetId="39">#REF!</definedName>
    <definedName name="LZ">#REF!</definedName>
    <definedName name="TF" localSheetId="69">#REF!</definedName>
    <definedName name="TF" localSheetId="63">#REF!</definedName>
    <definedName name="TF" localSheetId="30">#REF!</definedName>
    <definedName name="TF" localSheetId="29">#REF!</definedName>
    <definedName name="TF" localSheetId="73">#REF!</definedName>
    <definedName name="TF" localSheetId="55">#REF!</definedName>
    <definedName name="TF" localSheetId="54">#REF!</definedName>
    <definedName name="TF" localSheetId="17">#REF!</definedName>
    <definedName name="TF" localSheetId="24">#REF!</definedName>
    <definedName name="TF" localSheetId="2">#REF!</definedName>
    <definedName name="TF" localSheetId="9">#REF!</definedName>
    <definedName name="TF" localSheetId="62">#REF!</definedName>
    <definedName name="TF" localSheetId="61">#REF!</definedName>
    <definedName name="TF" localSheetId="51">#REF!</definedName>
    <definedName name="TF" localSheetId="49">#REF!</definedName>
    <definedName name="TF" localSheetId="41">#REF!</definedName>
    <definedName name="TF" localSheetId="39">#REF!</definedName>
    <definedName name="TF">#REF!</definedName>
    <definedName name="_xlnm.Print_Titles" localSheetId="25">'graficas evol mensual merc'!$2:$3</definedName>
    <definedName name="_xlnm.Print_Titles" localSheetId="26">'Nacionalidades  evolución mensu'!$B:$B</definedName>
  </definedNames>
  <calcPr calcId="125725"/>
</workbook>
</file>

<file path=xl/calcChain.xml><?xml version="1.0" encoding="utf-8"?>
<calcChain xmlns="http://schemas.openxmlformats.org/spreadsheetml/2006/main">
  <c r="D7" i="101"/>
  <c r="D7" i="102" s="1"/>
  <c r="M43" i="95"/>
  <c r="K43"/>
  <c r="F43"/>
  <c r="D43"/>
  <c r="M32"/>
  <c r="K32"/>
  <c r="F32"/>
  <c r="D32"/>
  <c r="M20"/>
  <c r="K20"/>
  <c r="F20"/>
  <c r="D20"/>
  <c r="M7"/>
  <c r="K7"/>
  <c r="F7"/>
  <c r="D7"/>
  <c r="L7" i="93"/>
  <c r="J7"/>
  <c r="E7"/>
  <c r="C7"/>
  <c r="B7" i="91"/>
  <c r="B6" i="90"/>
  <c r="B7" i="89"/>
  <c r="J32" i="87"/>
  <c r="E31"/>
  <c r="D31"/>
  <c r="C31"/>
  <c r="J30"/>
  <c r="I30"/>
  <c r="H30"/>
  <c r="I29"/>
  <c r="J29" s="1"/>
  <c r="H29"/>
  <c r="D29"/>
  <c r="C29"/>
  <c r="J28"/>
  <c r="I28"/>
  <c r="H28"/>
  <c r="E28"/>
  <c r="D28"/>
  <c r="C28"/>
  <c r="I27"/>
  <c r="J27" s="1"/>
  <c r="H27"/>
  <c r="D27"/>
  <c r="C27"/>
  <c r="J26"/>
  <c r="I26"/>
  <c r="H26"/>
  <c r="E26"/>
  <c r="D26"/>
  <c r="C26"/>
  <c r="I24"/>
  <c r="J24" s="1"/>
  <c r="H24"/>
  <c r="D24"/>
  <c r="C24"/>
  <c r="I22"/>
  <c r="H22"/>
  <c r="D22"/>
  <c r="C22"/>
  <c r="J18"/>
  <c r="I18"/>
  <c r="H18"/>
  <c r="E18"/>
  <c r="D18"/>
  <c r="C18"/>
  <c r="I16"/>
  <c r="H16"/>
  <c r="D16"/>
  <c r="C16"/>
  <c r="J15"/>
  <c r="I15"/>
  <c r="H15"/>
  <c r="E15"/>
  <c r="D15"/>
  <c r="C15"/>
  <c r="I14"/>
  <c r="H14"/>
  <c r="D14"/>
  <c r="C14"/>
  <c r="J13"/>
  <c r="I13"/>
  <c r="H13"/>
  <c r="D13"/>
  <c r="E13" s="1"/>
  <c r="C13"/>
  <c r="I12"/>
  <c r="H12"/>
  <c r="D12"/>
  <c r="E12" s="1"/>
  <c r="C12"/>
  <c r="J10"/>
  <c r="I10"/>
  <c r="H10"/>
  <c r="E10"/>
  <c r="D10"/>
  <c r="C10"/>
  <c r="I8"/>
  <c r="H8"/>
  <c r="D8"/>
  <c r="C8"/>
  <c r="D26" i="85"/>
  <c r="C26"/>
  <c r="D25"/>
  <c r="C25"/>
  <c r="E23"/>
  <c r="D23"/>
  <c r="C23"/>
  <c r="E22"/>
  <c r="D22"/>
  <c r="C22"/>
  <c r="D21"/>
  <c r="C21"/>
  <c r="D19"/>
  <c r="C19"/>
  <c r="E18"/>
  <c r="D18"/>
  <c r="C18"/>
  <c r="D17"/>
  <c r="E17" s="1"/>
  <c r="C17"/>
  <c r="D15"/>
  <c r="C15"/>
  <c r="D14"/>
  <c r="C14"/>
  <c r="E13"/>
  <c r="D13"/>
  <c r="C13"/>
  <c r="D7"/>
  <c r="C7"/>
  <c r="D31" i="83"/>
  <c r="E31" s="1"/>
  <c r="C31"/>
  <c r="J30"/>
  <c r="I30"/>
  <c r="H30"/>
  <c r="I29"/>
  <c r="J29" s="1"/>
  <c r="H29"/>
  <c r="D29"/>
  <c r="E29" s="1"/>
  <c r="C29"/>
  <c r="I28"/>
  <c r="H28"/>
  <c r="E28"/>
  <c r="D28"/>
  <c r="C28"/>
  <c r="J27"/>
  <c r="I27"/>
  <c r="H27"/>
  <c r="D27"/>
  <c r="C27"/>
  <c r="I26"/>
  <c r="J26" s="1"/>
  <c r="H26"/>
  <c r="E26"/>
  <c r="D26"/>
  <c r="C26"/>
  <c r="I24"/>
  <c r="J24" s="1"/>
  <c r="H24"/>
  <c r="D24"/>
  <c r="E24" s="1"/>
  <c r="C24"/>
  <c r="I22"/>
  <c r="H22"/>
  <c r="D22"/>
  <c r="C22"/>
  <c r="I18"/>
  <c r="J18" s="1"/>
  <c r="H18"/>
  <c r="E18"/>
  <c r="D18"/>
  <c r="C18"/>
  <c r="I16"/>
  <c r="J16" s="1"/>
  <c r="H16"/>
  <c r="D16"/>
  <c r="E16" s="1"/>
  <c r="C16"/>
  <c r="I15"/>
  <c r="J15" s="1"/>
  <c r="H15"/>
  <c r="E15"/>
  <c r="D15"/>
  <c r="C15"/>
  <c r="I14"/>
  <c r="J14" s="1"/>
  <c r="H14"/>
  <c r="D14"/>
  <c r="E14" s="1"/>
  <c r="C14"/>
  <c r="I13"/>
  <c r="J13" s="1"/>
  <c r="H13"/>
  <c r="E13"/>
  <c r="D13"/>
  <c r="C13"/>
  <c r="I12"/>
  <c r="J12" s="1"/>
  <c r="H12"/>
  <c r="D12"/>
  <c r="C12"/>
  <c r="E12" s="1"/>
  <c r="I10"/>
  <c r="J10" s="1"/>
  <c r="H10"/>
  <c r="E10"/>
  <c r="D10"/>
  <c r="C10"/>
  <c r="I8"/>
  <c r="H8"/>
  <c r="D8"/>
  <c r="C8"/>
  <c r="D26" i="81"/>
  <c r="E26" s="1"/>
  <c r="C26"/>
  <c r="D25"/>
  <c r="C25"/>
  <c r="E25" s="1"/>
  <c r="D23"/>
  <c r="E23" s="1"/>
  <c r="C23"/>
  <c r="E22"/>
  <c r="D22"/>
  <c r="C22"/>
  <c r="D21"/>
  <c r="E21" s="1"/>
  <c r="C21"/>
  <c r="D19"/>
  <c r="C19"/>
  <c r="E19" s="1"/>
  <c r="D18"/>
  <c r="E18" s="1"/>
  <c r="C18"/>
  <c r="E17"/>
  <c r="D17"/>
  <c r="C17"/>
  <c r="D15"/>
  <c r="E15" s="1"/>
  <c r="C15"/>
  <c r="D14"/>
  <c r="C14"/>
  <c r="E14" s="1"/>
  <c r="D13"/>
  <c r="E13" s="1"/>
  <c r="C13"/>
  <c r="D7"/>
  <c r="C7"/>
  <c r="L22" i="79"/>
  <c r="J22"/>
  <c r="E22"/>
  <c r="C22"/>
  <c r="L8"/>
  <c r="J8"/>
  <c r="E8"/>
  <c r="C8"/>
  <c r="G27" i="77"/>
  <c r="E7"/>
  <c r="C7"/>
  <c r="L22" i="75"/>
  <c r="J22"/>
  <c r="E22"/>
  <c r="C22"/>
  <c r="L8"/>
  <c r="J8"/>
  <c r="E8"/>
  <c r="C8"/>
  <c r="E7" i="73"/>
  <c r="C7"/>
  <c r="E72" i="70"/>
  <c r="C72"/>
  <c r="F71"/>
  <c r="F70"/>
  <c r="F69"/>
  <c r="F68"/>
  <c r="F67"/>
  <c r="F66"/>
  <c r="F65"/>
  <c r="F64"/>
  <c r="F63"/>
  <c r="F62"/>
  <c r="F61"/>
  <c r="C59"/>
  <c r="E59" s="1"/>
  <c r="C46"/>
  <c r="E46" s="1"/>
  <c r="C33"/>
  <c r="E33" s="1"/>
  <c r="E20"/>
  <c r="C20"/>
  <c r="D17" i="68"/>
  <c r="E17" s="1"/>
  <c r="C17"/>
  <c r="D15"/>
  <c r="E15" s="1"/>
  <c r="C15"/>
  <c r="D14"/>
  <c r="E14" s="1"/>
  <c r="C14"/>
  <c r="E13"/>
  <c r="D13"/>
  <c r="C13"/>
  <c r="D12"/>
  <c r="E12" s="1"/>
  <c r="C12"/>
  <c r="D11"/>
  <c r="E11" s="1"/>
  <c r="C11"/>
  <c r="D9"/>
  <c r="E9" s="1"/>
  <c r="C9"/>
  <c r="D7"/>
  <c r="C7"/>
  <c r="D19" i="66"/>
  <c r="C19"/>
  <c r="E19" s="1"/>
  <c r="D18"/>
  <c r="E18" s="1"/>
  <c r="C18"/>
  <c r="E17"/>
  <c r="D17"/>
  <c r="C17"/>
  <c r="D7"/>
  <c r="C7"/>
  <c r="E14" i="65"/>
  <c r="F14" s="1"/>
  <c r="D14"/>
  <c r="E13"/>
  <c r="D13"/>
  <c r="F13" s="1"/>
  <c r="E12"/>
  <c r="F12" s="1"/>
  <c r="D12"/>
  <c r="E11"/>
  <c r="D11"/>
  <c r="J17" i="64"/>
  <c r="I17"/>
  <c r="H17"/>
  <c r="G17"/>
  <c r="F17"/>
  <c r="E17"/>
  <c r="D17"/>
  <c r="J69" i="63"/>
  <c r="I69"/>
  <c r="H69"/>
  <c r="G69"/>
  <c r="F69"/>
  <c r="E69"/>
  <c r="D69"/>
  <c r="J56"/>
  <c r="J56" i="64" s="1"/>
  <c r="I56" i="63"/>
  <c r="I56" i="64" s="1"/>
  <c r="H56" i="63"/>
  <c r="H56" i="64" s="1"/>
  <c r="G56" i="63"/>
  <c r="G56" i="64" s="1"/>
  <c r="F56" i="63"/>
  <c r="F56" i="64" s="1"/>
  <c r="E56" i="63"/>
  <c r="E56" i="64" s="1"/>
  <c r="D56" i="63"/>
  <c r="D56" i="64" s="1"/>
  <c r="J43" i="63"/>
  <c r="J43" i="64" s="1"/>
  <c r="I43" i="63"/>
  <c r="I43" i="64" s="1"/>
  <c r="H43" i="63"/>
  <c r="H43" i="64" s="1"/>
  <c r="G43" i="63"/>
  <c r="G43" i="64" s="1"/>
  <c r="F43" i="63"/>
  <c r="F43" i="64" s="1"/>
  <c r="E43" i="63"/>
  <c r="E43" i="64" s="1"/>
  <c r="D43" i="63"/>
  <c r="D43" i="64" s="1"/>
  <c r="J30" i="63"/>
  <c r="J30" i="64" s="1"/>
  <c r="I30" i="63"/>
  <c r="I30" i="64" s="1"/>
  <c r="H30" i="63"/>
  <c r="H30" i="64" s="1"/>
  <c r="G30" i="63"/>
  <c r="G30" i="64" s="1"/>
  <c r="F30" i="63"/>
  <c r="F30" i="64" s="1"/>
  <c r="E30" i="63"/>
  <c r="E30" i="64" s="1"/>
  <c r="D30" i="63"/>
  <c r="D30" i="64" s="1"/>
  <c r="J17" i="63"/>
  <c r="I17"/>
  <c r="H17"/>
  <c r="G17"/>
  <c r="F17"/>
  <c r="E17"/>
  <c r="D17"/>
  <c r="F70" i="62"/>
  <c r="E70"/>
  <c r="D70"/>
  <c r="F57"/>
  <c r="E57"/>
  <c r="D57"/>
  <c r="F44"/>
  <c r="E44"/>
  <c r="D44"/>
  <c r="F31"/>
  <c r="E31"/>
  <c r="D31"/>
  <c r="F18"/>
  <c r="E18"/>
  <c r="D18"/>
  <c r="E19" i="61"/>
  <c r="C72" i="59"/>
  <c r="C59"/>
  <c r="E59" s="1"/>
  <c r="F46"/>
  <c r="C46"/>
  <c r="E46" s="1"/>
  <c r="C33"/>
  <c r="E33" s="1"/>
  <c r="E20"/>
  <c r="C20"/>
  <c r="D18" i="57"/>
  <c r="E18" s="1"/>
  <c r="C18"/>
  <c r="E16"/>
  <c r="D16"/>
  <c r="C16"/>
  <c r="D15"/>
  <c r="E15" s="1"/>
  <c r="C15"/>
  <c r="D14"/>
  <c r="E14" s="1"/>
  <c r="C14"/>
  <c r="D13"/>
  <c r="C13"/>
  <c r="E13" s="1"/>
  <c r="E12"/>
  <c r="D12"/>
  <c r="C12"/>
  <c r="D10"/>
  <c r="E10" s="1"/>
  <c r="C10"/>
  <c r="D8"/>
  <c r="C8"/>
  <c r="E19" i="55"/>
  <c r="D19"/>
  <c r="C19"/>
  <c r="D18"/>
  <c r="E18" s="1"/>
  <c r="C18"/>
  <c r="D17"/>
  <c r="E17" s="1"/>
  <c r="C17"/>
  <c r="D7"/>
  <c r="C7"/>
  <c r="E11" i="54"/>
  <c r="D11"/>
  <c r="F11" s="1"/>
  <c r="F10"/>
  <c r="E10"/>
  <c r="D10"/>
  <c r="E9"/>
  <c r="F9" s="1"/>
  <c r="D9"/>
  <c r="E8"/>
  <c r="D8"/>
  <c r="J17" i="53"/>
  <c r="I17"/>
  <c r="H17"/>
  <c r="G17"/>
  <c r="F17"/>
  <c r="E17"/>
  <c r="D17"/>
  <c r="J69" i="52"/>
  <c r="I69"/>
  <c r="H69"/>
  <c r="G69"/>
  <c r="F69"/>
  <c r="E69"/>
  <c r="D69"/>
  <c r="J56"/>
  <c r="J56" i="53" s="1"/>
  <c r="I56" i="52"/>
  <c r="I56" i="53" s="1"/>
  <c r="H56" i="52"/>
  <c r="H56" i="53" s="1"/>
  <c r="G56" i="52"/>
  <c r="G56" i="53" s="1"/>
  <c r="F56" i="52"/>
  <c r="F56" i="53" s="1"/>
  <c r="E56" i="52"/>
  <c r="E56" i="53" s="1"/>
  <c r="D56" i="52"/>
  <c r="D56" i="53" s="1"/>
  <c r="J43" i="52"/>
  <c r="J43" i="53" s="1"/>
  <c r="I43" i="52"/>
  <c r="I43" i="53" s="1"/>
  <c r="H43" i="52"/>
  <c r="H43" i="53" s="1"/>
  <c r="G43" i="52"/>
  <c r="G43" i="53" s="1"/>
  <c r="F43" i="52"/>
  <c r="F43" i="53" s="1"/>
  <c r="E43" i="52"/>
  <c r="E43" i="53" s="1"/>
  <c r="D43" i="52"/>
  <c r="D43" i="53" s="1"/>
  <c r="J30" i="52"/>
  <c r="J30" i="53" s="1"/>
  <c r="I30" i="52"/>
  <c r="I30" i="53" s="1"/>
  <c r="H30" i="52"/>
  <c r="H30" i="53" s="1"/>
  <c r="G30" i="52"/>
  <c r="G30" i="53" s="1"/>
  <c r="F30" i="52"/>
  <c r="F30" i="53" s="1"/>
  <c r="E30" i="52"/>
  <c r="E30" i="53" s="1"/>
  <c r="D30" i="52"/>
  <c r="D30" i="53" s="1"/>
  <c r="J17" i="52"/>
  <c r="I17"/>
  <c r="H17"/>
  <c r="G17"/>
  <c r="F17"/>
  <c r="E17"/>
  <c r="D17"/>
  <c r="F18" i="51"/>
  <c r="E18"/>
  <c r="D18"/>
  <c r="F70" i="50"/>
  <c r="E70"/>
  <c r="D70"/>
  <c r="F57"/>
  <c r="F57" i="51" s="1"/>
  <c r="E57" i="50"/>
  <c r="E57" i="51" s="1"/>
  <c r="D57" i="50"/>
  <c r="D57" i="51" s="1"/>
  <c r="F44" i="50"/>
  <c r="F44" i="51" s="1"/>
  <c r="E44" i="50"/>
  <c r="E44" i="51" s="1"/>
  <c r="D44" i="50"/>
  <c r="D44" i="51" s="1"/>
  <c r="F31" i="50"/>
  <c r="F31" i="51" s="1"/>
  <c r="E31" i="50"/>
  <c r="E31" i="51" s="1"/>
  <c r="D31" i="50"/>
  <c r="F18"/>
  <c r="E18"/>
  <c r="D18"/>
  <c r="D20" i="49"/>
  <c r="B20" i="47"/>
  <c r="E8" i="45"/>
  <c r="C8"/>
  <c r="E12" i="44"/>
  <c r="C12"/>
  <c r="C17" i="42"/>
  <c r="C18" i="40"/>
  <c r="D17" i="39"/>
  <c r="B8" i="35"/>
  <c r="B6" i="34"/>
  <c r="B5" i="33"/>
  <c r="B8" i="32"/>
  <c r="E5" i="29"/>
  <c r="D5"/>
  <c r="E5" i="28"/>
  <c r="D5"/>
  <c r="E20" i="25"/>
  <c r="C17" i="19"/>
  <c r="E20" i="18"/>
  <c r="C18" i="13"/>
  <c r="F4" i="11"/>
  <c r="D4"/>
  <c r="E15" i="10"/>
  <c r="C17" i="5"/>
  <c r="F11" i="4"/>
  <c r="D11"/>
  <c r="E19" i="3"/>
  <c r="D6" i="1"/>
  <c r="D61" i="102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G38" i="99"/>
  <c r="H37"/>
  <c r="E36"/>
  <c r="F35"/>
  <c r="G34"/>
  <c r="H33"/>
  <c r="E32"/>
  <c r="F31"/>
  <c r="G30"/>
  <c r="H29"/>
  <c r="E28"/>
  <c r="F27"/>
  <c r="G26"/>
  <c r="H25"/>
  <c r="E24"/>
  <c r="F23"/>
  <c r="G22"/>
  <c r="H21"/>
  <c r="E20"/>
  <c r="F19"/>
  <c r="G18"/>
  <c r="H17"/>
  <c r="E16"/>
  <c r="F15"/>
  <c r="G14"/>
  <c r="H13"/>
  <c r="E12"/>
  <c r="F11"/>
  <c r="G10"/>
  <c r="H9"/>
  <c r="E8"/>
  <c r="F7"/>
  <c r="M50" i="95"/>
  <c r="F50"/>
  <c r="D49"/>
  <c r="F48"/>
  <c r="D47"/>
  <c r="F46"/>
  <c r="D45"/>
  <c r="F44"/>
  <c r="D38"/>
  <c r="F37"/>
  <c r="D36"/>
  <c r="F35"/>
  <c r="D34"/>
  <c r="F33"/>
  <c r="D27"/>
  <c r="F26"/>
  <c r="D25"/>
  <c r="F24"/>
  <c r="D23"/>
  <c r="F22"/>
  <c r="D21"/>
  <c r="F14"/>
  <c r="D13"/>
  <c r="F12"/>
  <c r="D11"/>
  <c r="F10"/>
  <c r="D9"/>
  <c r="F8"/>
  <c r="C39" i="93"/>
  <c r="E38"/>
  <c r="C37"/>
  <c r="E35"/>
  <c r="C34"/>
  <c r="E33"/>
  <c r="C31"/>
  <c r="E30"/>
  <c r="C29"/>
  <c r="E27"/>
  <c r="C26"/>
  <c r="E25"/>
  <c r="C23"/>
  <c r="E22"/>
  <c r="C21"/>
  <c r="E19"/>
  <c r="C18"/>
  <c r="E17"/>
  <c r="C14"/>
  <c r="E13"/>
  <c r="C11"/>
  <c r="E10"/>
  <c r="C9"/>
  <c r="D30" i="90"/>
  <c r="E29"/>
  <c r="F28"/>
  <c r="G27"/>
  <c r="C27"/>
  <c r="D26"/>
  <c r="E25"/>
  <c r="F24"/>
  <c r="G23"/>
  <c r="C23"/>
  <c r="D22"/>
  <c r="E21"/>
  <c r="F20"/>
  <c r="G19"/>
  <c r="C19"/>
  <c r="D18"/>
  <c r="E17"/>
  <c r="F16"/>
  <c r="G15"/>
  <c r="C15"/>
  <c r="D14"/>
  <c r="E13"/>
  <c r="F12"/>
  <c r="G11"/>
  <c r="C11"/>
  <c r="D10"/>
  <c r="E9"/>
  <c r="F8"/>
  <c r="D31" i="89"/>
  <c r="F29"/>
  <c r="G28"/>
  <c r="C28"/>
  <c r="D27"/>
  <c r="E26"/>
  <c r="F25"/>
  <c r="G24"/>
  <c r="C24"/>
  <c r="D23"/>
  <c r="E22"/>
  <c r="F21"/>
  <c r="G20"/>
  <c r="C20"/>
  <c r="D19"/>
  <c r="E18"/>
  <c r="G16"/>
  <c r="C16"/>
  <c r="D15"/>
  <c r="E14"/>
  <c r="F13"/>
  <c r="G12"/>
  <c r="C12"/>
  <c r="D11"/>
  <c r="E10"/>
  <c r="F9"/>
  <c r="D9" i="85"/>
  <c r="H38" i="99"/>
  <c r="E37"/>
  <c r="F36"/>
  <c r="G35"/>
  <c r="H34"/>
  <c r="E33"/>
  <c r="F32"/>
  <c r="G31"/>
  <c r="H30"/>
  <c r="E29"/>
  <c r="F28"/>
  <c r="G27"/>
  <c r="H26"/>
  <c r="E25"/>
  <c r="F24"/>
  <c r="G23"/>
  <c r="H22"/>
  <c r="E21"/>
  <c r="F20"/>
  <c r="G19"/>
  <c r="H18"/>
  <c r="E17"/>
  <c r="F16"/>
  <c r="G15"/>
  <c r="H14"/>
  <c r="E13"/>
  <c r="F12"/>
  <c r="G11"/>
  <c r="H10"/>
  <c r="E9"/>
  <c r="F8"/>
  <c r="G7"/>
  <c r="K49" i="95"/>
  <c r="M48"/>
  <c r="K47"/>
  <c r="M46"/>
  <c r="K45"/>
  <c r="M44"/>
  <c r="K38"/>
  <c r="M37"/>
  <c r="K36"/>
  <c r="M35"/>
  <c r="K34"/>
  <c r="M33"/>
  <c r="K27"/>
  <c r="M26"/>
  <c r="K25"/>
  <c r="M24"/>
  <c r="K23"/>
  <c r="M22"/>
  <c r="K21"/>
  <c r="M14"/>
  <c r="K13"/>
  <c r="M12"/>
  <c r="K11"/>
  <c r="M10"/>
  <c r="K9"/>
  <c r="M8"/>
  <c r="J39" i="93"/>
  <c r="L38"/>
  <c r="J37"/>
  <c r="L35"/>
  <c r="J34"/>
  <c r="L33"/>
  <c r="J31"/>
  <c r="L30"/>
  <c r="J29"/>
  <c r="L27"/>
  <c r="J26"/>
  <c r="L25"/>
  <c r="J23"/>
  <c r="L22"/>
  <c r="J21"/>
  <c r="L19"/>
  <c r="J18"/>
  <c r="L17"/>
  <c r="J14"/>
  <c r="L13"/>
  <c r="J11"/>
  <c r="L10"/>
  <c r="J9"/>
  <c r="E30" i="90"/>
  <c r="F29"/>
  <c r="G28"/>
  <c r="C28"/>
  <c r="D27"/>
  <c r="E26"/>
  <c r="F25"/>
  <c r="G24"/>
  <c r="C24"/>
  <c r="D23"/>
  <c r="E22"/>
  <c r="F21"/>
  <c r="G20"/>
  <c r="C20"/>
  <c r="D19"/>
  <c r="E18"/>
  <c r="F17"/>
  <c r="G16"/>
  <c r="C16"/>
  <c r="D15"/>
  <c r="E14"/>
  <c r="F13"/>
  <c r="G12"/>
  <c r="C12"/>
  <c r="D11"/>
  <c r="E10"/>
  <c r="F9"/>
  <c r="G8"/>
  <c r="C8"/>
  <c r="E31" i="89"/>
  <c r="G29"/>
  <c r="C29"/>
  <c r="D28"/>
  <c r="E27"/>
  <c r="F26"/>
  <c r="G25"/>
  <c r="C25"/>
  <c r="D24"/>
  <c r="E23"/>
  <c r="F22"/>
  <c r="G21"/>
  <c r="C21"/>
  <c r="D20"/>
  <c r="E19"/>
  <c r="F18"/>
  <c r="D16"/>
  <c r="E15"/>
  <c r="F14"/>
  <c r="G13"/>
  <c r="C13"/>
  <c r="D12"/>
  <c r="E11"/>
  <c r="F10"/>
  <c r="G9"/>
  <c r="C9"/>
  <c r="C11" i="85"/>
  <c r="H61" i="102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E38" i="99"/>
  <c r="F37"/>
  <c r="G36"/>
  <c r="H35"/>
  <c r="E34"/>
  <c r="F33"/>
  <c r="G32"/>
  <c r="H31"/>
  <c r="E30"/>
  <c r="F29"/>
  <c r="G28"/>
  <c r="H27"/>
  <c r="E26"/>
  <c r="F25"/>
  <c r="G24"/>
  <c r="H23"/>
  <c r="E22"/>
  <c r="F21"/>
  <c r="G20"/>
  <c r="H19"/>
  <c r="E18"/>
  <c r="F17"/>
  <c r="G16"/>
  <c r="H15"/>
  <c r="E14"/>
  <c r="F13"/>
  <c r="G12"/>
  <c r="H11"/>
  <c r="E10"/>
  <c r="F9"/>
  <c r="G8"/>
  <c r="H7"/>
  <c r="K50" i="95"/>
  <c r="D50"/>
  <c r="F49"/>
  <c r="D48"/>
  <c r="F47"/>
  <c r="D46"/>
  <c r="F45"/>
  <c r="D44"/>
  <c r="F38"/>
  <c r="D37"/>
  <c r="F36"/>
  <c r="D35"/>
  <c r="F34"/>
  <c r="D33"/>
  <c r="F27"/>
  <c r="D26"/>
  <c r="F25"/>
  <c r="D24"/>
  <c r="F23"/>
  <c r="D22"/>
  <c r="F21"/>
  <c r="D14"/>
  <c r="F13"/>
  <c r="D12"/>
  <c r="F11"/>
  <c r="D10"/>
  <c r="F9"/>
  <c r="D8"/>
  <c r="E39" i="93"/>
  <c r="C38"/>
  <c r="E37"/>
  <c r="C35"/>
  <c r="E34"/>
  <c r="C33"/>
  <c r="E31"/>
  <c r="C30"/>
  <c r="E29"/>
  <c r="C27"/>
  <c r="E26"/>
  <c r="C25"/>
  <c r="E23"/>
  <c r="C22"/>
  <c r="E21"/>
  <c r="C19"/>
  <c r="E18"/>
  <c r="C17"/>
  <c r="E14"/>
  <c r="C13"/>
  <c r="E11"/>
  <c r="C10"/>
  <c r="E9"/>
  <c r="F30" i="90"/>
  <c r="G29"/>
  <c r="C29"/>
  <c r="D28"/>
  <c r="E27"/>
  <c r="F26"/>
  <c r="G25"/>
  <c r="C25"/>
  <c r="D24"/>
  <c r="E23"/>
  <c r="F22"/>
  <c r="G21"/>
  <c r="C21"/>
  <c r="D20"/>
  <c r="E19"/>
  <c r="F18"/>
  <c r="G17"/>
  <c r="C17"/>
  <c r="D16"/>
  <c r="E15"/>
  <c r="F14"/>
  <c r="G13"/>
  <c r="C13"/>
  <c r="D12"/>
  <c r="E11"/>
  <c r="F10"/>
  <c r="G9"/>
  <c r="C9"/>
  <c r="D8"/>
  <c r="F31" i="89"/>
  <c r="D29"/>
  <c r="E28"/>
  <c r="F27"/>
  <c r="G26"/>
  <c r="C26"/>
  <c r="D25"/>
  <c r="E24"/>
  <c r="F23"/>
  <c r="G22"/>
  <c r="C22"/>
  <c r="D21"/>
  <c r="E20"/>
  <c r="F19"/>
  <c r="G18"/>
  <c r="C18"/>
  <c r="E16"/>
  <c r="F15"/>
  <c r="G14"/>
  <c r="C14"/>
  <c r="D13"/>
  <c r="E12"/>
  <c r="F11"/>
  <c r="G10"/>
  <c r="C10"/>
  <c r="D9"/>
  <c r="F38" i="99"/>
  <c r="G37"/>
  <c r="H36"/>
  <c r="E35"/>
  <c r="F34"/>
  <c r="G33"/>
  <c r="H32"/>
  <c r="E31"/>
  <c r="F30"/>
  <c r="G29"/>
  <c r="H28"/>
  <c r="E27"/>
  <c r="F26"/>
  <c r="G25"/>
  <c r="H24"/>
  <c r="E23"/>
  <c r="F22"/>
  <c r="G21"/>
  <c r="H20"/>
  <c r="E19"/>
  <c r="F18"/>
  <c r="G17"/>
  <c r="H16"/>
  <c r="E15"/>
  <c r="F14"/>
  <c r="G13"/>
  <c r="H12"/>
  <c r="E11"/>
  <c r="F10"/>
  <c r="G9"/>
  <c r="H8"/>
  <c r="E7"/>
  <c r="M49" i="95"/>
  <c r="K48"/>
  <c r="M47"/>
  <c r="K46"/>
  <c r="M45"/>
  <c r="K44"/>
  <c r="M38"/>
  <c r="K37"/>
  <c r="M36"/>
  <c r="K35"/>
  <c r="M34"/>
  <c r="K33"/>
  <c r="M27"/>
  <c r="K26"/>
  <c r="M25"/>
  <c r="K24"/>
  <c r="M23"/>
  <c r="K22"/>
  <c r="M21"/>
  <c r="K14"/>
  <c r="M13"/>
  <c r="K12"/>
  <c r="M11"/>
  <c r="K10"/>
  <c r="M9"/>
  <c r="K8"/>
  <c r="L39" i="93"/>
  <c r="J38"/>
  <c r="L37"/>
  <c r="J35"/>
  <c r="L34"/>
  <c r="J33"/>
  <c r="L31"/>
  <c r="J30"/>
  <c r="L29"/>
  <c r="J27"/>
  <c r="L26"/>
  <c r="J25"/>
  <c r="L23"/>
  <c r="J22"/>
  <c r="L21"/>
  <c r="J19"/>
  <c r="L18"/>
  <c r="J17"/>
  <c r="L14"/>
  <c r="J13"/>
  <c r="L11"/>
  <c r="J10"/>
  <c r="L9"/>
  <c r="G30" i="90"/>
  <c r="C30"/>
  <c r="D29"/>
  <c r="E28"/>
  <c r="F27"/>
  <c r="G26"/>
  <c r="C26"/>
  <c r="D25"/>
  <c r="E24"/>
  <c r="F23"/>
  <c r="G22"/>
  <c r="C22"/>
  <c r="D21"/>
  <c r="E20"/>
  <c r="F19"/>
  <c r="G18"/>
  <c r="C18"/>
  <c r="D17"/>
  <c r="E16"/>
  <c r="F15"/>
  <c r="G14"/>
  <c r="C14"/>
  <c r="D13"/>
  <c r="E12"/>
  <c r="F11"/>
  <c r="G10"/>
  <c r="C10"/>
  <c r="D9"/>
  <c r="E8"/>
  <c r="G31" i="89"/>
  <c r="C31"/>
  <c r="E29"/>
  <c r="F28"/>
  <c r="G27"/>
  <c r="C27"/>
  <c r="D26"/>
  <c r="E25"/>
  <c r="F24"/>
  <c r="G23"/>
  <c r="C23"/>
  <c r="D22"/>
  <c r="E21"/>
  <c r="F20"/>
  <c r="G19"/>
  <c r="C19"/>
  <c r="D18"/>
  <c r="F16"/>
  <c r="G15"/>
  <c r="C15"/>
  <c r="D14"/>
  <c r="E13"/>
  <c r="F12"/>
  <c r="G11"/>
  <c r="C11"/>
  <c r="D10"/>
  <c r="E9"/>
  <c r="D11" i="85"/>
  <c r="D10" i="81"/>
  <c r="C9"/>
  <c r="C31" i="79"/>
  <c r="L29"/>
  <c r="J28"/>
  <c r="L27"/>
  <c r="J26"/>
  <c r="L24"/>
  <c r="J18"/>
  <c r="L16"/>
  <c r="J15"/>
  <c r="L14"/>
  <c r="J13"/>
  <c r="L12"/>
  <c r="J10"/>
  <c r="E25" i="77"/>
  <c r="C22"/>
  <c r="E19"/>
  <c r="C17"/>
  <c r="E14"/>
  <c r="C11"/>
  <c r="E9"/>
  <c r="E31" i="75"/>
  <c r="J29"/>
  <c r="L28"/>
  <c r="J27"/>
  <c r="L26"/>
  <c r="J24"/>
  <c r="L18"/>
  <c r="J16"/>
  <c r="L15"/>
  <c r="J14"/>
  <c r="L13"/>
  <c r="J12"/>
  <c r="L10"/>
  <c r="C27" i="73"/>
  <c r="E25"/>
  <c r="C22"/>
  <c r="E19"/>
  <c r="C17"/>
  <c r="E14"/>
  <c r="C11"/>
  <c r="E9"/>
  <c r="C58" i="70"/>
  <c r="C57"/>
  <c r="C56"/>
  <c r="C55"/>
  <c r="C54"/>
  <c r="C53"/>
  <c r="C52"/>
  <c r="C51"/>
  <c r="C50"/>
  <c r="C49"/>
  <c r="C48"/>
  <c r="C47"/>
  <c r="C32"/>
  <c r="C31"/>
  <c r="C30"/>
  <c r="C29"/>
  <c r="C28"/>
  <c r="C27"/>
  <c r="C26"/>
  <c r="C25"/>
  <c r="C24"/>
  <c r="C23"/>
  <c r="C22"/>
  <c r="C21"/>
  <c r="C15" i="66"/>
  <c r="D11"/>
  <c r="C10"/>
  <c r="J68" i="63"/>
  <c r="F68"/>
  <c r="I67"/>
  <c r="E67"/>
  <c r="H66"/>
  <c r="D66"/>
  <c r="G65"/>
  <c r="J64"/>
  <c r="F64"/>
  <c r="I63"/>
  <c r="E63"/>
  <c r="H62"/>
  <c r="D62"/>
  <c r="G61"/>
  <c r="J60"/>
  <c r="F60"/>
  <c r="I59"/>
  <c r="E59"/>
  <c r="H58"/>
  <c r="D58"/>
  <c r="G57"/>
  <c r="I55"/>
  <c r="E55"/>
  <c r="H54"/>
  <c r="D54"/>
  <c r="G53"/>
  <c r="J52"/>
  <c r="F52"/>
  <c r="I51"/>
  <c r="E51"/>
  <c r="H50"/>
  <c r="D50"/>
  <c r="G49"/>
  <c r="J48"/>
  <c r="F48"/>
  <c r="I47"/>
  <c r="E47"/>
  <c r="H46"/>
  <c r="D46"/>
  <c r="G45"/>
  <c r="J44"/>
  <c r="F44"/>
  <c r="H42"/>
  <c r="D42"/>
  <c r="G41"/>
  <c r="J40"/>
  <c r="F40"/>
  <c r="I39"/>
  <c r="E39"/>
  <c r="H38"/>
  <c r="D38"/>
  <c r="G37"/>
  <c r="J36"/>
  <c r="F36"/>
  <c r="I35"/>
  <c r="E35"/>
  <c r="H34"/>
  <c r="D34"/>
  <c r="G33"/>
  <c r="J32"/>
  <c r="F32"/>
  <c r="I31"/>
  <c r="E31"/>
  <c r="G29"/>
  <c r="J28"/>
  <c r="F28"/>
  <c r="I27"/>
  <c r="E27"/>
  <c r="H26"/>
  <c r="D26"/>
  <c r="G25"/>
  <c r="J24"/>
  <c r="F24"/>
  <c r="I23"/>
  <c r="E23"/>
  <c r="H22"/>
  <c r="D22"/>
  <c r="G21"/>
  <c r="J20"/>
  <c r="F20"/>
  <c r="I19"/>
  <c r="E19"/>
  <c r="H18"/>
  <c r="D18"/>
  <c r="J16"/>
  <c r="F16"/>
  <c r="I15"/>
  <c r="E15"/>
  <c r="H14"/>
  <c r="D14"/>
  <c r="G13"/>
  <c r="J12"/>
  <c r="F12"/>
  <c r="I11"/>
  <c r="E11"/>
  <c r="H10"/>
  <c r="D10"/>
  <c r="G9"/>
  <c r="J8"/>
  <c r="F8"/>
  <c r="I7"/>
  <c r="E7"/>
  <c r="H6"/>
  <c r="D6"/>
  <c r="G5"/>
  <c r="L70" i="62"/>
  <c r="H70"/>
  <c r="I69"/>
  <c r="E69"/>
  <c r="J68"/>
  <c r="F68"/>
  <c r="K67"/>
  <c r="G67"/>
  <c r="L66"/>
  <c r="H66"/>
  <c r="D66"/>
  <c r="I65"/>
  <c r="E65"/>
  <c r="J64"/>
  <c r="F64"/>
  <c r="K63"/>
  <c r="G63"/>
  <c r="L62"/>
  <c r="H62"/>
  <c r="D62"/>
  <c r="I61"/>
  <c r="E61"/>
  <c r="J60"/>
  <c r="F60"/>
  <c r="K59"/>
  <c r="G59"/>
  <c r="L58"/>
  <c r="H58"/>
  <c r="D58"/>
  <c r="I57"/>
  <c r="J56"/>
  <c r="F56"/>
  <c r="K55"/>
  <c r="G55"/>
  <c r="L54"/>
  <c r="H54"/>
  <c r="D54"/>
  <c r="I53"/>
  <c r="E53"/>
  <c r="J52"/>
  <c r="F52"/>
  <c r="K51"/>
  <c r="G51"/>
  <c r="L50"/>
  <c r="C9" i="85"/>
  <c r="H32" i="83"/>
  <c r="D9" i="81"/>
  <c r="J32" i="79"/>
  <c r="L30"/>
  <c r="C29"/>
  <c r="E28"/>
  <c r="C27"/>
  <c r="E26"/>
  <c r="C24"/>
  <c r="E18"/>
  <c r="C16"/>
  <c r="E15"/>
  <c r="C14"/>
  <c r="E13"/>
  <c r="C12"/>
  <c r="E10"/>
  <c r="E26" i="77"/>
  <c r="C23"/>
  <c r="E21"/>
  <c r="C18"/>
  <c r="E15"/>
  <c r="C13"/>
  <c r="E10"/>
  <c r="L32" i="75"/>
  <c r="J30"/>
  <c r="E29"/>
  <c r="C28"/>
  <c r="E27"/>
  <c r="C26"/>
  <c r="E24"/>
  <c r="C18"/>
  <c r="E16"/>
  <c r="C15"/>
  <c r="E14"/>
  <c r="C13"/>
  <c r="E12"/>
  <c r="C10"/>
  <c r="E26" i="73"/>
  <c r="C23"/>
  <c r="E21"/>
  <c r="C18"/>
  <c r="E15"/>
  <c r="C13"/>
  <c r="E10"/>
  <c r="D15" i="66"/>
  <c r="C14"/>
  <c r="D10"/>
  <c r="C9"/>
  <c r="G68" i="63"/>
  <c r="J67"/>
  <c r="F67"/>
  <c r="I66"/>
  <c r="E66"/>
  <c r="H65"/>
  <c r="D65"/>
  <c r="G64"/>
  <c r="J63"/>
  <c r="F63"/>
  <c r="I62"/>
  <c r="E62"/>
  <c r="H61"/>
  <c r="D61"/>
  <c r="G60"/>
  <c r="J59"/>
  <c r="F59"/>
  <c r="I58"/>
  <c r="E58"/>
  <c r="H57"/>
  <c r="D57"/>
  <c r="J55"/>
  <c r="F55"/>
  <c r="I54"/>
  <c r="E54"/>
  <c r="H53"/>
  <c r="D53"/>
  <c r="G52"/>
  <c r="J51"/>
  <c r="F51"/>
  <c r="I50"/>
  <c r="E50"/>
  <c r="H49"/>
  <c r="D49"/>
  <c r="G48"/>
  <c r="J47"/>
  <c r="F47"/>
  <c r="I46"/>
  <c r="E46"/>
  <c r="H45"/>
  <c r="D45"/>
  <c r="G44"/>
  <c r="I42"/>
  <c r="E42"/>
  <c r="H41"/>
  <c r="D41"/>
  <c r="G40"/>
  <c r="J39"/>
  <c r="F39"/>
  <c r="I38"/>
  <c r="E38"/>
  <c r="H37"/>
  <c r="D37"/>
  <c r="G36"/>
  <c r="J35"/>
  <c r="F35"/>
  <c r="I34"/>
  <c r="E34"/>
  <c r="H33"/>
  <c r="D33"/>
  <c r="G32"/>
  <c r="J31"/>
  <c r="F31"/>
  <c r="H29"/>
  <c r="D29"/>
  <c r="G28"/>
  <c r="J27"/>
  <c r="F27"/>
  <c r="I26"/>
  <c r="E26"/>
  <c r="H25"/>
  <c r="D25"/>
  <c r="G24"/>
  <c r="J23"/>
  <c r="F23"/>
  <c r="I22"/>
  <c r="E22"/>
  <c r="H21"/>
  <c r="D21"/>
  <c r="G20"/>
  <c r="J19"/>
  <c r="F19"/>
  <c r="I18"/>
  <c r="E18"/>
  <c r="G16"/>
  <c r="J15"/>
  <c r="F15"/>
  <c r="I14"/>
  <c r="E14"/>
  <c r="H13"/>
  <c r="D13"/>
  <c r="G12"/>
  <c r="J11"/>
  <c r="F11"/>
  <c r="I10"/>
  <c r="E10"/>
  <c r="H9"/>
  <c r="D9"/>
  <c r="G8"/>
  <c r="J7"/>
  <c r="F7"/>
  <c r="I6"/>
  <c r="E6"/>
  <c r="H5"/>
  <c r="D5"/>
  <c r="I70" i="62"/>
  <c r="J69"/>
  <c r="F69"/>
  <c r="K68"/>
  <c r="G68"/>
  <c r="L67"/>
  <c r="H67"/>
  <c r="D67"/>
  <c r="I66"/>
  <c r="E66"/>
  <c r="J65"/>
  <c r="F65"/>
  <c r="K64"/>
  <c r="G64"/>
  <c r="L63"/>
  <c r="H63"/>
  <c r="D63"/>
  <c r="I62"/>
  <c r="E62"/>
  <c r="J61"/>
  <c r="F61"/>
  <c r="K60"/>
  <c r="G60"/>
  <c r="L59"/>
  <c r="H59"/>
  <c r="D59"/>
  <c r="I58"/>
  <c r="E58"/>
  <c r="J57"/>
  <c r="K56"/>
  <c r="G56"/>
  <c r="L55"/>
  <c r="H55"/>
  <c r="D55"/>
  <c r="I54"/>
  <c r="E54"/>
  <c r="J53"/>
  <c r="F53"/>
  <c r="K52"/>
  <c r="G52"/>
  <c r="L51"/>
  <c r="H51"/>
  <c r="D51"/>
  <c r="C10" i="85"/>
  <c r="I32" i="83"/>
  <c r="C11" i="81"/>
  <c r="E31" i="79"/>
  <c r="J29"/>
  <c r="L28"/>
  <c r="J27"/>
  <c r="L26"/>
  <c r="J24"/>
  <c r="L18"/>
  <c r="J16"/>
  <c r="L15"/>
  <c r="J14"/>
  <c r="L13"/>
  <c r="J12"/>
  <c r="L10"/>
  <c r="C25" i="77"/>
  <c r="E22"/>
  <c r="C19"/>
  <c r="E17"/>
  <c r="C14"/>
  <c r="E11"/>
  <c r="C9"/>
  <c r="C31" i="75"/>
  <c r="L29"/>
  <c r="J28"/>
  <c r="L27"/>
  <c r="J26"/>
  <c r="L24"/>
  <c r="J18"/>
  <c r="L16"/>
  <c r="J15"/>
  <c r="L14"/>
  <c r="J13"/>
  <c r="L12"/>
  <c r="J10"/>
  <c r="E27" i="73"/>
  <c r="C25"/>
  <c r="E22"/>
  <c r="C19"/>
  <c r="E17"/>
  <c r="C14"/>
  <c r="E11"/>
  <c r="C9"/>
  <c r="C71" i="70"/>
  <c r="C70"/>
  <c r="C69"/>
  <c r="C68"/>
  <c r="C67"/>
  <c r="C66"/>
  <c r="C65"/>
  <c r="C64"/>
  <c r="C63"/>
  <c r="C62"/>
  <c r="C61"/>
  <c r="C60"/>
  <c r="C45"/>
  <c r="C44"/>
  <c r="C43"/>
  <c r="C42"/>
  <c r="C41"/>
  <c r="C40"/>
  <c r="C39"/>
  <c r="C38"/>
  <c r="C37"/>
  <c r="C36"/>
  <c r="C35"/>
  <c r="C34"/>
  <c r="D14" i="66"/>
  <c r="C13"/>
  <c r="D9"/>
  <c r="H68" i="63"/>
  <c r="D68"/>
  <c r="G67"/>
  <c r="J66"/>
  <c r="F66"/>
  <c r="I65"/>
  <c r="E65"/>
  <c r="H64"/>
  <c r="D64"/>
  <c r="G63"/>
  <c r="J62"/>
  <c r="F62"/>
  <c r="I61"/>
  <c r="E61"/>
  <c r="H60"/>
  <c r="D60"/>
  <c r="G59"/>
  <c r="J58"/>
  <c r="F58"/>
  <c r="I57"/>
  <c r="E57"/>
  <c r="G55"/>
  <c r="J54"/>
  <c r="F54"/>
  <c r="I53"/>
  <c r="E53"/>
  <c r="H52"/>
  <c r="D52"/>
  <c r="G51"/>
  <c r="J50"/>
  <c r="F50"/>
  <c r="I49"/>
  <c r="E49"/>
  <c r="H48"/>
  <c r="D48"/>
  <c r="G47"/>
  <c r="J46"/>
  <c r="F46"/>
  <c r="I45"/>
  <c r="E45"/>
  <c r="H44"/>
  <c r="D44"/>
  <c r="J42"/>
  <c r="F42"/>
  <c r="I41"/>
  <c r="E41"/>
  <c r="H40"/>
  <c r="D40"/>
  <c r="G39"/>
  <c r="J38"/>
  <c r="F38"/>
  <c r="I37"/>
  <c r="E37"/>
  <c r="H36"/>
  <c r="D36"/>
  <c r="G35"/>
  <c r="J34"/>
  <c r="F34"/>
  <c r="I33"/>
  <c r="E33"/>
  <c r="H32"/>
  <c r="D32"/>
  <c r="G31"/>
  <c r="I29"/>
  <c r="E29"/>
  <c r="H28"/>
  <c r="D28"/>
  <c r="G27"/>
  <c r="J26"/>
  <c r="F26"/>
  <c r="I25"/>
  <c r="E25"/>
  <c r="H24"/>
  <c r="D24"/>
  <c r="G23"/>
  <c r="J22"/>
  <c r="F22"/>
  <c r="I21"/>
  <c r="E21"/>
  <c r="H20"/>
  <c r="D20"/>
  <c r="G19"/>
  <c r="J18"/>
  <c r="F18"/>
  <c r="H16"/>
  <c r="D16"/>
  <c r="G15"/>
  <c r="J14"/>
  <c r="F14"/>
  <c r="I13"/>
  <c r="E13"/>
  <c r="H12"/>
  <c r="D12"/>
  <c r="G11"/>
  <c r="J10"/>
  <c r="F10"/>
  <c r="I9"/>
  <c r="E9"/>
  <c r="H8"/>
  <c r="D8"/>
  <c r="G7"/>
  <c r="J6"/>
  <c r="F6"/>
  <c r="I5"/>
  <c r="E5"/>
  <c r="J70" i="62"/>
  <c r="K69"/>
  <c r="G69"/>
  <c r="L68"/>
  <c r="H68"/>
  <c r="D68"/>
  <c r="I67"/>
  <c r="E67"/>
  <c r="J66"/>
  <c r="F66"/>
  <c r="K65"/>
  <c r="G65"/>
  <c r="L64"/>
  <c r="H64"/>
  <c r="D64"/>
  <c r="I63"/>
  <c r="E63"/>
  <c r="J62"/>
  <c r="F62"/>
  <c r="K61"/>
  <c r="G61"/>
  <c r="L60"/>
  <c r="H60"/>
  <c r="D60"/>
  <c r="I59"/>
  <c r="E59"/>
  <c r="J58"/>
  <c r="F58"/>
  <c r="K57"/>
  <c r="G57"/>
  <c r="L56"/>
  <c r="H56"/>
  <c r="D56"/>
  <c r="I55"/>
  <c r="E55"/>
  <c r="J54"/>
  <c r="F54"/>
  <c r="K53"/>
  <c r="G53"/>
  <c r="L52"/>
  <c r="H52"/>
  <c r="D52"/>
  <c r="I51"/>
  <c r="E51"/>
  <c r="J50"/>
  <c r="F50"/>
  <c r="K49"/>
  <c r="G49"/>
  <c r="L48"/>
  <c r="H48"/>
  <c r="D48"/>
  <c r="I47"/>
  <c r="E47"/>
  <c r="J46"/>
  <c r="F46"/>
  <c r="K45"/>
  <c r="G45"/>
  <c r="L44"/>
  <c r="H44"/>
  <c r="I43"/>
  <c r="E43"/>
  <c r="J42"/>
  <c r="F42"/>
  <c r="K41"/>
  <c r="G41"/>
  <c r="L40"/>
  <c r="H40"/>
  <c r="D40"/>
  <c r="I39"/>
  <c r="E39"/>
  <c r="J38"/>
  <c r="F38"/>
  <c r="K37"/>
  <c r="G37"/>
  <c r="L36"/>
  <c r="H36"/>
  <c r="D36"/>
  <c r="I35"/>
  <c r="E35"/>
  <c r="J34"/>
  <c r="D10" i="85"/>
  <c r="D11" i="81"/>
  <c r="C10"/>
  <c r="L32" i="79"/>
  <c r="J30"/>
  <c r="E29"/>
  <c r="C28"/>
  <c r="E27"/>
  <c r="C26"/>
  <c r="E24"/>
  <c r="C18"/>
  <c r="E16"/>
  <c r="C15"/>
  <c r="E14"/>
  <c r="C13"/>
  <c r="E12"/>
  <c r="C10"/>
  <c r="C26" i="77"/>
  <c r="E23"/>
  <c r="C21"/>
  <c r="E18"/>
  <c r="C15"/>
  <c r="E13"/>
  <c r="C10"/>
  <c r="J32" i="75"/>
  <c r="L30"/>
  <c r="C29"/>
  <c r="E28"/>
  <c r="C27"/>
  <c r="E26"/>
  <c r="C24"/>
  <c r="E18"/>
  <c r="C16"/>
  <c r="E15"/>
  <c r="C14"/>
  <c r="E13"/>
  <c r="C12"/>
  <c r="E10"/>
  <c r="C26" i="73"/>
  <c r="E23"/>
  <c r="C21"/>
  <c r="E18"/>
  <c r="C15"/>
  <c r="E13"/>
  <c r="C10"/>
  <c r="C19" i="70"/>
  <c r="C18"/>
  <c r="C17"/>
  <c r="C16"/>
  <c r="C15"/>
  <c r="C14"/>
  <c r="C13"/>
  <c r="C12"/>
  <c r="C11"/>
  <c r="C10"/>
  <c r="C9"/>
  <c r="C8"/>
  <c r="D13" i="66"/>
  <c r="C11"/>
  <c r="I68" i="63"/>
  <c r="E68"/>
  <c r="H67"/>
  <c r="D67"/>
  <c r="G66"/>
  <c r="J65"/>
  <c r="F65"/>
  <c r="I64"/>
  <c r="E64"/>
  <c r="H63"/>
  <c r="D63"/>
  <c r="G62"/>
  <c r="J61"/>
  <c r="F61"/>
  <c r="I60"/>
  <c r="E60"/>
  <c r="H59"/>
  <c r="D59"/>
  <c r="G58"/>
  <c r="J57"/>
  <c r="F57"/>
  <c r="H55"/>
  <c r="D55"/>
  <c r="G54"/>
  <c r="J53"/>
  <c r="F53"/>
  <c r="I52"/>
  <c r="E52"/>
  <c r="H51"/>
  <c r="D51"/>
  <c r="G50"/>
  <c r="J49"/>
  <c r="F49"/>
  <c r="I48"/>
  <c r="E48"/>
  <c r="H47"/>
  <c r="D47"/>
  <c r="G46"/>
  <c r="J45"/>
  <c r="F45"/>
  <c r="I44"/>
  <c r="E44"/>
  <c r="G42"/>
  <c r="J41"/>
  <c r="F41"/>
  <c r="I40"/>
  <c r="E40"/>
  <c r="H39"/>
  <c r="D39"/>
  <c r="G38"/>
  <c r="J37"/>
  <c r="F37"/>
  <c r="I36"/>
  <c r="E36"/>
  <c r="H35"/>
  <c r="D35"/>
  <c r="G34"/>
  <c r="J33"/>
  <c r="F33"/>
  <c r="I32"/>
  <c r="E32"/>
  <c r="H31"/>
  <c r="D31"/>
  <c r="J29"/>
  <c r="F29"/>
  <c r="I28"/>
  <c r="E28"/>
  <c r="H27"/>
  <c r="D27"/>
  <c r="G26"/>
  <c r="J25"/>
  <c r="F25"/>
  <c r="I24"/>
  <c r="E24"/>
  <c r="H23"/>
  <c r="D23"/>
  <c r="G22"/>
  <c r="J21"/>
  <c r="F21"/>
  <c r="I20"/>
  <c r="E20"/>
  <c r="H19"/>
  <c r="D19"/>
  <c r="G18"/>
  <c r="I16"/>
  <c r="E16"/>
  <c r="H15"/>
  <c r="D15"/>
  <c r="G14"/>
  <c r="J13"/>
  <c r="F13"/>
  <c r="I12"/>
  <c r="E12"/>
  <c r="H11"/>
  <c r="D11"/>
  <c r="G10"/>
  <c r="J9"/>
  <c r="F9"/>
  <c r="I8"/>
  <c r="E8"/>
  <c r="H7"/>
  <c r="D7"/>
  <c r="G6"/>
  <c r="J5"/>
  <c r="F5"/>
  <c r="K70" i="62"/>
  <c r="G70"/>
  <c r="L69"/>
  <c r="H69"/>
  <c r="D69"/>
  <c r="I68"/>
  <c r="E68"/>
  <c r="J67"/>
  <c r="F67"/>
  <c r="K66"/>
  <c r="G66"/>
  <c r="L65"/>
  <c r="H65"/>
  <c r="D65"/>
  <c r="I64"/>
  <c r="E64"/>
  <c r="J63"/>
  <c r="F63"/>
  <c r="K62"/>
  <c r="G62"/>
  <c r="L61"/>
  <c r="H61"/>
  <c r="D61"/>
  <c r="I60"/>
  <c r="E60"/>
  <c r="J59"/>
  <c r="F59"/>
  <c r="K58"/>
  <c r="G58"/>
  <c r="L57"/>
  <c r="H57"/>
  <c r="I56"/>
  <c r="E56"/>
  <c r="J55"/>
  <c r="F55"/>
  <c r="K54"/>
  <c r="G54"/>
  <c r="L53"/>
  <c r="H53"/>
  <c r="D53"/>
  <c r="I52"/>
  <c r="E52"/>
  <c r="J51"/>
  <c r="F51"/>
  <c r="K50"/>
  <c r="G50"/>
  <c r="L49"/>
  <c r="H49"/>
  <c r="D49"/>
  <c r="I48"/>
  <c r="E48"/>
  <c r="J47"/>
  <c r="F47"/>
  <c r="K46"/>
  <c r="G46"/>
  <c r="L45"/>
  <c r="H45"/>
  <c r="D45"/>
  <c r="I44"/>
  <c r="J43"/>
  <c r="F43"/>
  <c r="K42"/>
  <c r="G42"/>
  <c r="L41"/>
  <c r="H41"/>
  <c r="D41"/>
  <c r="I40"/>
  <c r="E40"/>
  <c r="J39"/>
  <c r="F39"/>
  <c r="K38"/>
  <c r="G38"/>
  <c r="L37"/>
  <c r="H37"/>
  <c r="D37"/>
  <c r="I36"/>
  <c r="E36"/>
  <c r="J35"/>
  <c r="F35"/>
  <c r="K34"/>
  <c r="G34"/>
  <c r="E50"/>
  <c r="F49"/>
  <c r="G48"/>
  <c r="H47"/>
  <c r="I46"/>
  <c r="J45"/>
  <c r="K44"/>
  <c r="H43"/>
  <c r="I42"/>
  <c r="J41"/>
  <c r="K40"/>
  <c r="L39"/>
  <c r="D39"/>
  <c r="E38"/>
  <c r="F37"/>
  <c r="G36"/>
  <c r="H35"/>
  <c r="I34"/>
  <c r="D34"/>
  <c r="I33"/>
  <c r="E33"/>
  <c r="J32"/>
  <c r="F32"/>
  <c r="K31"/>
  <c r="G31"/>
  <c r="L30"/>
  <c r="H30"/>
  <c r="D30"/>
  <c r="I29"/>
  <c r="E29"/>
  <c r="J28"/>
  <c r="F28"/>
  <c r="K27"/>
  <c r="G27"/>
  <c r="L26"/>
  <c r="H26"/>
  <c r="D26"/>
  <c r="I25"/>
  <c r="E25"/>
  <c r="J24"/>
  <c r="F24"/>
  <c r="K23"/>
  <c r="G23"/>
  <c r="L22"/>
  <c r="H22"/>
  <c r="D22"/>
  <c r="I21"/>
  <c r="E21"/>
  <c r="J20"/>
  <c r="F20"/>
  <c r="K19"/>
  <c r="G19"/>
  <c r="L18"/>
  <c r="H18"/>
  <c r="I17"/>
  <c r="E17"/>
  <c r="J16"/>
  <c r="F16"/>
  <c r="K15"/>
  <c r="G15"/>
  <c r="L14"/>
  <c r="H14"/>
  <c r="D14"/>
  <c r="I13"/>
  <c r="E13"/>
  <c r="J12"/>
  <c r="F12"/>
  <c r="K11"/>
  <c r="G11"/>
  <c r="L10"/>
  <c r="H10"/>
  <c r="D10"/>
  <c r="I9"/>
  <c r="E9"/>
  <c r="J8"/>
  <c r="F8"/>
  <c r="K7"/>
  <c r="G7"/>
  <c r="L6"/>
  <c r="H6"/>
  <c r="D6"/>
  <c r="C56" i="59"/>
  <c r="C52"/>
  <c r="C48"/>
  <c r="C19"/>
  <c r="C18"/>
  <c r="C17"/>
  <c r="C16"/>
  <c r="C15"/>
  <c r="C14"/>
  <c r="C13"/>
  <c r="C12"/>
  <c r="C11"/>
  <c r="C10"/>
  <c r="C9"/>
  <c r="C8"/>
  <c r="D13" i="55"/>
  <c r="C11"/>
  <c r="I68" i="52"/>
  <c r="E68"/>
  <c r="H67"/>
  <c r="D67"/>
  <c r="G66"/>
  <c r="J65"/>
  <c r="F65"/>
  <c r="I64"/>
  <c r="E64"/>
  <c r="H63"/>
  <c r="D63"/>
  <c r="G62"/>
  <c r="J61"/>
  <c r="F61"/>
  <c r="I60"/>
  <c r="E60"/>
  <c r="H59"/>
  <c r="D59"/>
  <c r="G58"/>
  <c r="J57"/>
  <c r="F57"/>
  <c r="H55"/>
  <c r="D55"/>
  <c r="G54"/>
  <c r="J53"/>
  <c r="F53"/>
  <c r="I52"/>
  <c r="E52"/>
  <c r="H51"/>
  <c r="D51"/>
  <c r="G50"/>
  <c r="J49"/>
  <c r="F49"/>
  <c r="I48"/>
  <c r="E48"/>
  <c r="H47"/>
  <c r="D47"/>
  <c r="G46"/>
  <c r="J45"/>
  <c r="F45"/>
  <c r="I44"/>
  <c r="E44"/>
  <c r="G42"/>
  <c r="J41"/>
  <c r="F41"/>
  <c r="I40"/>
  <c r="E40"/>
  <c r="H39"/>
  <c r="D39"/>
  <c r="G38"/>
  <c r="J37"/>
  <c r="F37"/>
  <c r="I36"/>
  <c r="E36"/>
  <c r="H35"/>
  <c r="D35"/>
  <c r="G34"/>
  <c r="J33"/>
  <c r="F33"/>
  <c r="I32"/>
  <c r="E32"/>
  <c r="H31"/>
  <c r="D31"/>
  <c r="J29"/>
  <c r="F29"/>
  <c r="I28"/>
  <c r="E28"/>
  <c r="H27"/>
  <c r="D27"/>
  <c r="G26"/>
  <c r="J25"/>
  <c r="F25"/>
  <c r="I24"/>
  <c r="E24"/>
  <c r="H23"/>
  <c r="D23"/>
  <c r="G22"/>
  <c r="J21"/>
  <c r="F21"/>
  <c r="I20"/>
  <c r="E20"/>
  <c r="H19"/>
  <c r="D19"/>
  <c r="G18"/>
  <c r="I16"/>
  <c r="E16"/>
  <c r="H15"/>
  <c r="D15"/>
  <c r="G14"/>
  <c r="J13"/>
  <c r="F13"/>
  <c r="I12"/>
  <c r="E12"/>
  <c r="H11"/>
  <c r="D11"/>
  <c r="G10"/>
  <c r="J9"/>
  <c r="F9"/>
  <c r="I8"/>
  <c r="E8"/>
  <c r="H7"/>
  <c r="D7"/>
  <c r="G6"/>
  <c r="J5"/>
  <c r="F5"/>
  <c r="H50" i="62"/>
  <c r="I49"/>
  <c r="J48"/>
  <c r="K47"/>
  <c r="L46"/>
  <c r="D46"/>
  <c r="E45"/>
  <c r="K43"/>
  <c r="L42"/>
  <c r="D42"/>
  <c r="E41"/>
  <c r="F40"/>
  <c r="G39"/>
  <c r="H38"/>
  <c r="I37"/>
  <c r="J36"/>
  <c r="K35"/>
  <c r="L34"/>
  <c r="E34"/>
  <c r="J33"/>
  <c r="F33"/>
  <c r="K32"/>
  <c r="G32"/>
  <c r="L31"/>
  <c r="H31"/>
  <c r="I30"/>
  <c r="E30"/>
  <c r="J29"/>
  <c r="F29"/>
  <c r="K28"/>
  <c r="G28"/>
  <c r="L27"/>
  <c r="H27"/>
  <c r="D27"/>
  <c r="I26"/>
  <c r="E26"/>
  <c r="J25"/>
  <c r="F25"/>
  <c r="K24"/>
  <c r="G24"/>
  <c r="L23"/>
  <c r="H23"/>
  <c r="D23"/>
  <c r="I22"/>
  <c r="E22"/>
  <c r="J21"/>
  <c r="F21"/>
  <c r="K20"/>
  <c r="G20"/>
  <c r="L19"/>
  <c r="H19"/>
  <c r="D19"/>
  <c r="I18"/>
  <c r="J17"/>
  <c r="F17"/>
  <c r="K16"/>
  <c r="G16"/>
  <c r="L15"/>
  <c r="H15"/>
  <c r="D15"/>
  <c r="I14"/>
  <c r="E14"/>
  <c r="J13"/>
  <c r="F13"/>
  <c r="K12"/>
  <c r="G12"/>
  <c r="L11"/>
  <c r="H11"/>
  <c r="D11"/>
  <c r="I10"/>
  <c r="E10"/>
  <c r="J9"/>
  <c r="F9"/>
  <c r="K8"/>
  <c r="G8"/>
  <c r="L7"/>
  <c r="H7"/>
  <c r="D7"/>
  <c r="I6"/>
  <c r="E6"/>
  <c r="C71" i="59"/>
  <c r="C69"/>
  <c r="C67"/>
  <c r="C65"/>
  <c r="C63"/>
  <c r="C61"/>
  <c r="C55"/>
  <c r="C51"/>
  <c r="C47"/>
  <c r="C32"/>
  <c r="C31"/>
  <c r="C30"/>
  <c r="C29"/>
  <c r="C28"/>
  <c r="C27"/>
  <c r="C26"/>
  <c r="C25"/>
  <c r="C24"/>
  <c r="C23"/>
  <c r="C22"/>
  <c r="C21"/>
  <c r="C15" i="55"/>
  <c r="D11"/>
  <c r="C10"/>
  <c r="J68" i="52"/>
  <c r="F68"/>
  <c r="I67"/>
  <c r="E67"/>
  <c r="H66"/>
  <c r="D66"/>
  <c r="G65"/>
  <c r="J64"/>
  <c r="F64"/>
  <c r="I63"/>
  <c r="E63"/>
  <c r="H62"/>
  <c r="D62"/>
  <c r="G61"/>
  <c r="J60"/>
  <c r="F60"/>
  <c r="I59"/>
  <c r="E59"/>
  <c r="H58"/>
  <c r="D58"/>
  <c r="G57"/>
  <c r="I55"/>
  <c r="E55"/>
  <c r="H54"/>
  <c r="D54"/>
  <c r="G53"/>
  <c r="J52"/>
  <c r="F52"/>
  <c r="I51"/>
  <c r="E51"/>
  <c r="H50"/>
  <c r="D50"/>
  <c r="G49"/>
  <c r="J48"/>
  <c r="F48"/>
  <c r="I47"/>
  <c r="E47"/>
  <c r="H46"/>
  <c r="D46"/>
  <c r="G45"/>
  <c r="J44"/>
  <c r="F44"/>
  <c r="H42"/>
  <c r="D42"/>
  <c r="G41"/>
  <c r="J40"/>
  <c r="F40"/>
  <c r="I39"/>
  <c r="E39"/>
  <c r="H38"/>
  <c r="D38"/>
  <c r="G37"/>
  <c r="J36"/>
  <c r="F36"/>
  <c r="I35"/>
  <c r="E35"/>
  <c r="H34"/>
  <c r="D34"/>
  <c r="G33"/>
  <c r="J32"/>
  <c r="F32"/>
  <c r="I31"/>
  <c r="E31"/>
  <c r="G29"/>
  <c r="J28"/>
  <c r="F28"/>
  <c r="I27"/>
  <c r="E27"/>
  <c r="H26"/>
  <c r="D26"/>
  <c r="G25"/>
  <c r="J24"/>
  <c r="F24"/>
  <c r="I23"/>
  <c r="E23"/>
  <c r="H22"/>
  <c r="D22"/>
  <c r="G21"/>
  <c r="J20"/>
  <c r="F20"/>
  <c r="I19"/>
  <c r="E19"/>
  <c r="H18"/>
  <c r="D18"/>
  <c r="J16"/>
  <c r="F16"/>
  <c r="I15"/>
  <c r="E15"/>
  <c r="H14"/>
  <c r="D14"/>
  <c r="G13"/>
  <c r="J12"/>
  <c r="F12"/>
  <c r="I11"/>
  <c r="E11"/>
  <c r="H10"/>
  <c r="D10"/>
  <c r="G9"/>
  <c r="J8"/>
  <c r="F8"/>
  <c r="I7"/>
  <c r="E7"/>
  <c r="H6"/>
  <c r="D6"/>
  <c r="G5"/>
  <c r="I50" i="62"/>
  <c r="J49"/>
  <c r="K48"/>
  <c r="L47"/>
  <c r="D47"/>
  <c r="E46"/>
  <c r="F45"/>
  <c r="G44"/>
  <c r="L43"/>
  <c r="D43"/>
  <c r="E42"/>
  <c r="F41"/>
  <c r="G40"/>
  <c r="H39"/>
  <c r="I38"/>
  <c r="J37"/>
  <c r="K36"/>
  <c r="L35"/>
  <c r="D35"/>
  <c r="F34"/>
  <c r="K33"/>
  <c r="G33"/>
  <c r="L32"/>
  <c r="H32"/>
  <c r="D32"/>
  <c r="I31"/>
  <c r="J30"/>
  <c r="F30"/>
  <c r="K29"/>
  <c r="G29"/>
  <c r="L28"/>
  <c r="H28"/>
  <c r="D28"/>
  <c r="I27"/>
  <c r="E27"/>
  <c r="J26"/>
  <c r="F26"/>
  <c r="K25"/>
  <c r="G25"/>
  <c r="L24"/>
  <c r="H24"/>
  <c r="D24"/>
  <c r="I23"/>
  <c r="E23"/>
  <c r="J22"/>
  <c r="F22"/>
  <c r="K21"/>
  <c r="G21"/>
  <c r="L20"/>
  <c r="H20"/>
  <c r="D20"/>
  <c r="I19"/>
  <c r="E19"/>
  <c r="J18"/>
  <c r="K17"/>
  <c r="G17"/>
  <c r="L16"/>
  <c r="H16"/>
  <c r="D16"/>
  <c r="I15"/>
  <c r="E15"/>
  <c r="J14"/>
  <c r="F14"/>
  <c r="K13"/>
  <c r="G13"/>
  <c r="L12"/>
  <c r="H12"/>
  <c r="D12"/>
  <c r="I11"/>
  <c r="E11"/>
  <c r="J10"/>
  <c r="F10"/>
  <c r="K9"/>
  <c r="G9"/>
  <c r="L8"/>
  <c r="H8"/>
  <c r="D8"/>
  <c r="I7"/>
  <c r="E7"/>
  <c r="J6"/>
  <c r="F6"/>
  <c r="C58" i="59"/>
  <c r="C54"/>
  <c r="C50"/>
  <c r="D15" i="55"/>
  <c r="C14"/>
  <c r="D10"/>
  <c r="C9"/>
  <c r="G68" i="52"/>
  <c r="J67"/>
  <c r="F67"/>
  <c r="I66"/>
  <c r="E66"/>
  <c r="H65"/>
  <c r="D65"/>
  <c r="G64"/>
  <c r="J63"/>
  <c r="F63"/>
  <c r="I62"/>
  <c r="E62"/>
  <c r="H61"/>
  <c r="D61"/>
  <c r="G60"/>
  <c r="J59"/>
  <c r="F59"/>
  <c r="I58"/>
  <c r="E58"/>
  <c r="H57"/>
  <c r="D57"/>
  <c r="J55"/>
  <c r="F55"/>
  <c r="I54"/>
  <c r="E54"/>
  <c r="H53"/>
  <c r="D53"/>
  <c r="G52"/>
  <c r="J51"/>
  <c r="F51"/>
  <c r="I50"/>
  <c r="E50"/>
  <c r="H49"/>
  <c r="D49"/>
  <c r="G48"/>
  <c r="J47"/>
  <c r="F47"/>
  <c r="I46"/>
  <c r="E46"/>
  <c r="H45"/>
  <c r="D45"/>
  <c r="G44"/>
  <c r="I42"/>
  <c r="E42"/>
  <c r="H41"/>
  <c r="D41"/>
  <c r="G40"/>
  <c r="J39"/>
  <c r="F39"/>
  <c r="I38"/>
  <c r="E38"/>
  <c r="H37"/>
  <c r="D37"/>
  <c r="G36"/>
  <c r="J35"/>
  <c r="F35"/>
  <c r="I34"/>
  <c r="E34"/>
  <c r="H33"/>
  <c r="D33"/>
  <c r="G32"/>
  <c r="J31"/>
  <c r="F31"/>
  <c r="H29"/>
  <c r="D29"/>
  <c r="G28"/>
  <c r="J27"/>
  <c r="F27"/>
  <c r="I26"/>
  <c r="E26"/>
  <c r="H25"/>
  <c r="D25"/>
  <c r="G24"/>
  <c r="J23"/>
  <c r="F23"/>
  <c r="I22"/>
  <c r="E22"/>
  <c r="H21"/>
  <c r="D21"/>
  <c r="G20"/>
  <c r="J19"/>
  <c r="F19"/>
  <c r="I18"/>
  <c r="E18"/>
  <c r="G16"/>
  <c r="J15"/>
  <c r="F15"/>
  <c r="I14"/>
  <c r="E14"/>
  <c r="H13"/>
  <c r="D13"/>
  <c r="G12"/>
  <c r="J11"/>
  <c r="F11"/>
  <c r="I10"/>
  <c r="E10"/>
  <c r="H9"/>
  <c r="D9"/>
  <c r="G8"/>
  <c r="J7"/>
  <c r="F7"/>
  <c r="I6"/>
  <c r="E6"/>
  <c r="H5"/>
  <c r="D5"/>
  <c r="L18" i="51"/>
  <c r="H18"/>
  <c r="I70" i="50"/>
  <c r="J69"/>
  <c r="F69"/>
  <c r="K68"/>
  <c r="G68"/>
  <c r="L67"/>
  <c r="H67"/>
  <c r="D67"/>
  <c r="I66"/>
  <c r="E66"/>
  <c r="J65"/>
  <c r="F65"/>
  <c r="K64"/>
  <c r="G64"/>
  <c r="L63"/>
  <c r="H63"/>
  <c r="D63"/>
  <c r="I62"/>
  <c r="E62"/>
  <c r="J61"/>
  <c r="F61"/>
  <c r="K60"/>
  <c r="G60"/>
  <c r="L59"/>
  <c r="H59"/>
  <c r="D59"/>
  <c r="I58"/>
  <c r="E58"/>
  <c r="J57"/>
  <c r="K56"/>
  <c r="G56"/>
  <c r="L55"/>
  <c r="H55"/>
  <c r="D55"/>
  <c r="I54"/>
  <c r="E54"/>
  <c r="J53"/>
  <c r="F53"/>
  <c r="K52"/>
  <c r="G52"/>
  <c r="L51"/>
  <c r="H51"/>
  <c r="D51"/>
  <c r="I50"/>
  <c r="E50"/>
  <c r="J49"/>
  <c r="D50" i="62"/>
  <c r="E49"/>
  <c r="F48"/>
  <c r="G47"/>
  <c r="H46"/>
  <c r="I45"/>
  <c r="J44"/>
  <c r="G43"/>
  <c r="H42"/>
  <c r="I41"/>
  <c r="J40"/>
  <c r="K39"/>
  <c r="L38"/>
  <c r="D38"/>
  <c r="E37"/>
  <c r="F36"/>
  <c r="G35"/>
  <c r="H34"/>
  <c r="L33"/>
  <c r="H33"/>
  <c r="D33"/>
  <c r="I32"/>
  <c r="E32"/>
  <c r="J31"/>
  <c r="K30"/>
  <c r="G30"/>
  <c r="L29"/>
  <c r="H29"/>
  <c r="D29"/>
  <c r="I28"/>
  <c r="E28"/>
  <c r="J27"/>
  <c r="F27"/>
  <c r="K26"/>
  <c r="G26"/>
  <c r="L25"/>
  <c r="H25"/>
  <c r="D25"/>
  <c r="I24"/>
  <c r="E24"/>
  <c r="J23"/>
  <c r="F23"/>
  <c r="K22"/>
  <c r="G22"/>
  <c r="L21"/>
  <c r="H21"/>
  <c r="D21"/>
  <c r="I20"/>
  <c r="E20"/>
  <c r="J19"/>
  <c r="F19"/>
  <c r="K18"/>
  <c r="G18"/>
  <c r="L17"/>
  <c r="H17"/>
  <c r="D17"/>
  <c r="I16"/>
  <c r="E16"/>
  <c r="J15"/>
  <c r="F15"/>
  <c r="K14"/>
  <c r="G14"/>
  <c r="L13"/>
  <c r="H13"/>
  <c r="D13"/>
  <c r="I12"/>
  <c r="E12"/>
  <c r="J11"/>
  <c r="F11"/>
  <c r="K10"/>
  <c r="G10"/>
  <c r="L9"/>
  <c r="H9"/>
  <c r="D9"/>
  <c r="I8"/>
  <c r="E8"/>
  <c r="J7"/>
  <c r="F7"/>
  <c r="K6"/>
  <c r="G6"/>
  <c r="C70" i="59"/>
  <c r="C68"/>
  <c r="C66"/>
  <c r="C64"/>
  <c r="C62"/>
  <c r="C60"/>
  <c r="C57"/>
  <c r="C53"/>
  <c r="C49"/>
  <c r="C45"/>
  <c r="C44"/>
  <c r="C43"/>
  <c r="C42"/>
  <c r="C41"/>
  <c r="C40"/>
  <c r="C39"/>
  <c r="C38"/>
  <c r="C37"/>
  <c r="C36"/>
  <c r="C35"/>
  <c r="C34"/>
  <c r="D14" i="55"/>
  <c r="C13"/>
  <c r="D9"/>
  <c r="H68" i="52"/>
  <c r="D68"/>
  <c r="G67"/>
  <c r="J66"/>
  <c r="F66"/>
  <c r="I65"/>
  <c r="E65"/>
  <c r="H64"/>
  <c r="D64"/>
  <c r="G63"/>
  <c r="J62"/>
  <c r="F62"/>
  <c r="I61"/>
  <c r="E61"/>
  <c r="H60"/>
  <c r="D60"/>
  <c r="G59"/>
  <c r="J58"/>
  <c r="F58"/>
  <c r="I57"/>
  <c r="E57"/>
  <c r="G55"/>
  <c r="J54"/>
  <c r="F54"/>
  <c r="I53"/>
  <c r="E53"/>
  <c r="H52"/>
  <c r="D52"/>
  <c r="G51"/>
  <c r="J50"/>
  <c r="F50"/>
  <c r="I49"/>
  <c r="E49"/>
  <c r="H48"/>
  <c r="D48"/>
  <c r="G47"/>
  <c r="J46"/>
  <c r="F46"/>
  <c r="I45"/>
  <c r="E45"/>
  <c r="H44"/>
  <c r="D44"/>
  <c r="J42"/>
  <c r="F42"/>
  <c r="I41"/>
  <c r="E41"/>
  <c r="H40"/>
  <c r="D40"/>
  <c r="G39"/>
  <c r="J38"/>
  <c r="F38"/>
  <c r="I37"/>
  <c r="E37"/>
  <c r="H36"/>
  <c r="D36"/>
  <c r="G35"/>
  <c r="J34"/>
  <c r="F34"/>
  <c r="I33"/>
  <c r="E33"/>
  <c r="H32"/>
  <c r="D32"/>
  <c r="G31"/>
  <c r="I29"/>
  <c r="E29"/>
  <c r="H28"/>
  <c r="D28"/>
  <c r="G27"/>
  <c r="J26"/>
  <c r="F26"/>
  <c r="I25"/>
  <c r="E25"/>
  <c r="H24"/>
  <c r="D24"/>
  <c r="G23"/>
  <c r="J22"/>
  <c r="F22"/>
  <c r="I21"/>
  <c r="E21"/>
  <c r="H20"/>
  <c r="D20"/>
  <c r="G19"/>
  <c r="J18"/>
  <c r="F18"/>
  <c r="H16"/>
  <c r="D16"/>
  <c r="G15"/>
  <c r="J14"/>
  <c r="F14"/>
  <c r="I13"/>
  <c r="E13"/>
  <c r="H12"/>
  <c r="D12"/>
  <c r="G11"/>
  <c r="J10"/>
  <c r="F10"/>
  <c r="I9"/>
  <c r="E9"/>
  <c r="H8"/>
  <c r="D8"/>
  <c r="G7"/>
  <c r="J6"/>
  <c r="F6"/>
  <c r="I5"/>
  <c r="E5"/>
  <c r="I18" i="51"/>
  <c r="J70" i="50"/>
  <c r="K69"/>
  <c r="G69"/>
  <c r="L68"/>
  <c r="H68"/>
  <c r="D68"/>
  <c r="I67"/>
  <c r="E67"/>
  <c r="J66"/>
  <c r="F66"/>
  <c r="K65"/>
  <c r="G65"/>
  <c r="L64"/>
  <c r="H64"/>
  <c r="D64"/>
  <c r="I63"/>
  <c r="E63"/>
  <c r="J62"/>
  <c r="F62"/>
  <c r="K61"/>
  <c r="G61"/>
  <c r="L60"/>
  <c r="H60"/>
  <c r="D60"/>
  <c r="I59"/>
  <c r="E59"/>
  <c r="J58"/>
  <c r="F58"/>
  <c r="K57"/>
  <c r="G57"/>
  <c r="L56"/>
  <c r="H56"/>
  <c r="D56"/>
  <c r="I55"/>
  <c r="E55"/>
  <c r="J54"/>
  <c r="F54"/>
  <c r="K53"/>
  <c r="G53"/>
  <c r="L52"/>
  <c r="H52"/>
  <c r="D52"/>
  <c r="I51"/>
  <c r="E51"/>
  <c r="J50"/>
  <c r="F50"/>
  <c r="G18" i="51"/>
  <c r="H70" i="50"/>
  <c r="E69"/>
  <c r="F68"/>
  <c r="G67"/>
  <c r="H66"/>
  <c r="I65"/>
  <c r="J64"/>
  <c r="K63"/>
  <c r="L62"/>
  <c r="D62"/>
  <c r="E61"/>
  <c r="F60"/>
  <c r="G59"/>
  <c r="H58"/>
  <c r="I57"/>
  <c r="E56"/>
  <c r="F55"/>
  <c r="G54"/>
  <c r="H53"/>
  <c r="I52"/>
  <c r="J51"/>
  <c r="K50"/>
  <c r="L49"/>
  <c r="G49"/>
  <c r="L48"/>
  <c r="H48"/>
  <c r="D48"/>
  <c r="I47"/>
  <c r="E47"/>
  <c r="J46"/>
  <c r="F46"/>
  <c r="K45"/>
  <c r="G45"/>
  <c r="L44"/>
  <c r="H44"/>
  <c r="I43"/>
  <c r="E43"/>
  <c r="J42"/>
  <c r="F42"/>
  <c r="K41"/>
  <c r="G41"/>
  <c r="L40"/>
  <c r="H40"/>
  <c r="D40"/>
  <c r="I39"/>
  <c r="E39"/>
  <c r="J38"/>
  <c r="F38"/>
  <c r="K37"/>
  <c r="G37"/>
  <c r="L36"/>
  <c r="H36"/>
  <c r="D36"/>
  <c r="I35"/>
  <c r="E35"/>
  <c r="J34"/>
  <c r="F34"/>
  <c r="K33"/>
  <c r="G33"/>
  <c r="L32"/>
  <c r="H32"/>
  <c r="D32"/>
  <c r="I31"/>
  <c r="J30"/>
  <c r="F30"/>
  <c r="K29"/>
  <c r="G29"/>
  <c r="L28"/>
  <c r="H28"/>
  <c r="D28"/>
  <c r="I27"/>
  <c r="E27"/>
  <c r="J26"/>
  <c r="F26"/>
  <c r="K25"/>
  <c r="G25"/>
  <c r="L24"/>
  <c r="H24"/>
  <c r="D24"/>
  <c r="I23"/>
  <c r="E23"/>
  <c r="J22"/>
  <c r="F22"/>
  <c r="K21"/>
  <c r="G21"/>
  <c r="L20"/>
  <c r="H20"/>
  <c r="D20"/>
  <c r="I19"/>
  <c r="E19"/>
  <c r="J18"/>
  <c r="K17"/>
  <c r="G17"/>
  <c r="L16"/>
  <c r="H16"/>
  <c r="D16"/>
  <c r="I15"/>
  <c r="E15"/>
  <c r="J14"/>
  <c r="F14"/>
  <c r="K13"/>
  <c r="G13"/>
  <c r="L12"/>
  <c r="H12"/>
  <c r="D12"/>
  <c r="I11"/>
  <c r="E11"/>
  <c r="J10"/>
  <c r="F10"/>
  <c r="K9"/>
  <c r="G9"/>
  <c r="L8"/>
  <c r="H8"/>
  <c r="D8"/>
  <c r="I7"/>
  <c r="E7"/>
  <c r="J6"/>
  <c r="F6"/>
  <c r="C72" i="47"/>
  <c r="C58"/>
  <c r="C54"/>
  <c r="C50"/>
  <c r="C46"/>
  <c r="C18" i="45"/>
  <c r="E15"/>
  <c r="C13"/>
  <c r="E10"/>
  <c r="E15" i="44"/>
  <c r="H69" i="42"/>
  <c r="D69"/>
  <c r="G68"/>
  <c r="J67"/>
  <c r="F67"/>
  <c r="I66"/>
  <c r="E66"/>
  <c r="H65"/>
  <c r="D65"/>
  <c r="G64"/>
  <c r="J63"/>
  <c r="F63"/>
  <c r="I62"/>
  <c r="E62"/>
  <c r="H61"/>
  <c r="D61"/>
  <c r="G60"/>
  <c r="J59"/>
  <c r="F59"/>
  <c r="I58"/>
  <c r="E58"/>
  <c r="H57"/>
  <c r="D57"/>
  <c r="G56"/>
  <c r="J55"/>
  <c r="F55"/>
  <c r="I54"/>
  <c r="E54"/>
  <c r="H53"/>
  <c r="D53"/>
  <c r="G52"/>
  <c r="J51"/>
  <c r="F51"/>
  <c r="I50"/>
  <c r="E50"/>
  <c r="H49"/>
  <c r="D49"/>
  <c r="G48"/>
  <c r="J47"/>
  <c r="F47"/>
  <c r="I46"/>
  <c r="E46"/>
  <c r="H45"/>
  <c r="D45"/>
  <c r="G44"/>
  <c r="J43"/>
  <c r="F43"/>
  <c r="I42"/>
  <c r="E42"/>
  <c r="H41"/>
  <c r="D41"/>
  <c r="G40"/>
  <c r="J39"/>
  <c r="F39"/>
  <c r="I38"/>
  <c r="E38"/>
  <c r="H37"/>
  <c r="D37"/>
  <c r="G36"/>
  <c r="J35"/>
  <c r="F35"/>
  <c r="I34"/>
  <c r="E34"/>
  <c r="H33"/>
  <c r="D33"/>
  <c r="G32"/>
  <c r="J31"/>
  <c r="F31"/>
  <c r="I30"/>
  <c r="J18" i="51"/>
  <c r="K70" i="50"/>
  <c r="H69"/>
  <c r="I68"/>
  <c r="J67"/>
  <c r="K66"/>
  <c r="L65"/>
  <c r="D65"/>
  <c r="E64"/>
  <c r="F63"/>
  <c r="G62"/>
  <c r="H61"/>
  <c r="I60"/>
  <c r="J59"/>
  <c r="K58"/>
  <c r="L57"/>
  <c r="F56"/>
  <c r="G55"/>
  <c r="H54"/>
  <c r="I53"/>
  <c r="J52"/>
  <c r="K51"/>
  <c r="L50"/>
  <c r="D50"/>
  <c r="H49"/>
  <c r="D49"/>
  <c r="I48"/>
  <c r="E48"/>
  <c r="J47"/>
  <c r="F47"/>
  <c r="K46"/>
  <c r="G46"/>
  <c r="L45"/>
  <c r="H45"/>
  <c r="D45"/>
  <c r="I44"/>
  <c r="J43"/>
  <c r="F43"/>
  <c r="K42"/>
  <c r="G42"/>
  <c r="L41"/>
  <c r="H41"/>
  <c r="D41"/>
  <c r="I40"/>
  <c r="E40"/>
  <c r="J39"/>
  <c r="F39"/>
  <c r="K38"/>
  <c r="G38"/>
  <c r="L37"/>
  <c r="H37"/>
  <c r="D37"/>
  <c r="I36"/>
  <c r="E36"/>
  <c r="J35"/>
  <c r="F35"/>
  <c r="K34"/>
  <c r="G34"/>
  <c r="L33"/>
  <c r="H33"/>
  <c r="D33"/>
  <c r="I32"/>
  <c r="E32"/>
  <c r="J31"/>
  <c r="K30"/>
  <c r="G30"/>
  <c r="L29"/>
  <c r="H29"/>
  <c r="D29"/>
  <c r="I28"/>
  <c r="E28"/>
  <c r="J27"/>
  <c r="F27"/>
  <c r="K26"/>
  <c r="G26"/>
  <c r="L25"/>
  <c r="H25"/>
  <c r="D25"/>
  <c r="I24"/>
  <c r="E24"/>
  <c r="J23"/>
  <c r="F23"/>
  <c r="K22"/>
  <c r="G22"/>
  <c r="L21"/>
  <c r="H21"/>
  <c r="D21"/>
  <c r="I20"/>
  <c r="E20"/>
  <c r="J19"/>
  <c r="F19"/>
  <c r="K18"/>
  <c r="G18"/>
  <c r="L17"/>
  <c r="H17"/>
  <c r="D17"/>
  <c r="I16"/>
  <c r="E16"/>
  <c r="J15"/>
  <c r="F15"/>
  <c r="K14"/>
  <c r="G14"/>
  <c r="L13"/>
  <c r="H13"/>
  <c r="D13"/>
  <c r="I12"/>
  <c r="E12"/>
  <c r="J11"/>
  <c r="F11"/>
  <c r="K10"/>
  <c r="G10"/>
  <c r="L9"/>
  <c r="H9"/>
  <c r="D9"/>
  <c r="I8"/>
  <c r="E8"/>
  <c r="J7"/>
  <c r="F7"/>
  <c r="K6"/>
  <c r="G6"/>
  <c r="C70" i="47"/>
  <c r="C68"/>
  <c r="C66"/>
  <c r="C64"/>
  <c r="C62"/>
  <c r="C60"/>
  <c r="C57"/>
  <c r="C53"/>
  <c r="C49"/>
  <c r="C45"/>
  <c r="C44"/>
  <c r="C43"/>
  <c r="C42"/>
  <c r="C41"/>
  <c r="C40"/>
  <c r="C39"/>
  <c r="C38"/>
  <c r="C37"/>
  <c r="C36"/>
  <c r="C35"/>
  <c r="C34"/>
  <c r="C20"/>
  <c r="C19"/>
  <c r="C18"/>
  <c r="C17"/>
  <c r="C16"/>
  <c r="C15"/>
  <c r="C14"/>
  <c r="C13"/>
  <c r="C12"/>
  <c r="C11"/>
  <c r="C10"/>
  <c r="C9"/>
  <c r="C8"/>
  <c r="E16" i="45"/>
  <c r="C14"/>
  <c r="E12"/>
  <c r="E16" i="44"/>
  <c r="C14"/>
  <c r="I69" i="42"/>
  <c r="E69"/>
  <c r="H68"/>
  <c r="D68"/>
  <c r="G67"/>
  <c r="J66"/>
  <c r="F66"/>
  <c r="I65"/>
  <c r="E65"/>
  <c r="H64"/>
  <c r="D64"/>
  <c r="G63"/>
  <c r="J62"/>
  <c r="F62"/>
  <c r="I61"/>
  <c r="E61"/>
  <c r="H60"/>
  <c r="D60"/>
  <c r="G59"/>
  <c r="J58"/>
  <c r="F58"/>
  <c r="I57"/>
  <c r="E57"/>
  <c r="H56"/>
  <c r="D56"/>
  <c r="G55"/>
  <c r="J54"/>
  <c r="F54"/>
  <c r="I53"/>
  <c r="E53"/>
  <c r="H52"/>
  <c r="D52"/>
  <c r="G51"/>
  <c r="J50"/>
  <c r="F50"/>
  <c r="I49"/>
  <c r="E49"/>
  <c r="H48"/>
  <c r="D48"/>
  <c r="G47"/>
  <c r="J46"/>
  <c r="F46"/>
  <c r="I45"/>
  <c r="E45"/>
  <c r="H44"/>
  <c r="D44"/>
  <c r="G43"/>
  <c r="J42"/>
  <c r="F42"/>
  <c r="I41"/>
  <c r="E41"/>
  <c r="H40"/>
  <c r="D40"/>
  <c r="G39"/>
  <c r="J38"/>
  <c r="F38"/>
  <c r="I37"/>
  <c r="E37"/>
  <c r="H36"/>
  <c r="D36"/>
  <c r="G35"/>
  <c r="J34"/>
  <c r="F34"/>
  <c r="I33"/>
  <c r="E33"/>
  <c r="H32"/>
  <c r="D32"/>
  <c r="G31"/>
  <c r="J30"/>
  <c r="K18" i="51"/>
  <c r="L70" i="50"/>
  <c r="I69"/>
  <c r="J68"/>
  <c r="K67"/>
  <c r="L66"/>
  <c r="D66"/>
  <c r="E65"/>
  <c r="F64"/>
  <c r="G63"/>
  <c r="H62"/>
  <c r="I61"/>
  <c r="J60"/>
  <c r="K59"/>
  <c r="L58"/>
  <c r="D58"/>
  <c r="I56"/>
  <c r="J55"/>
  <c r="K54"/>
  <c r="L53"/>
  <c r="D53"/>
  <c r="E52"/>
  <c r="F51"/>
  <c r="G50"/>
  <c r="I49"/>
  <c r="E49"/>
  <c r="J48"/>
  <c r="F48"/>
  <c r="K47"/>
  <c r="G47"/>
  <c r="L46"/>
  <c r="H46"/>
  <c r="D46"/>
  <c r="I45"/>
  <c r="E45"/>
  <c r="J44"/>
  <c r="K43"/>
  <c r="G43"/>
  <c r="L42"/>
  <c r="H42"/>
  <c r="D42"/>
  <c r="I41"/>
  <c r="E41"/>
  <c r="J40"/>
  <c r="F40"/>
  <c r="K39"/>
  <c r="G39"/>
  <c r="L38"/>
  <c r="H38"/>
  <c r="D38"/>
  <c r="I37"/>
  <c r="E37"/>
  <c r="J36"/>
  <c r="F36"/>
  <c r="K35"/>
  <c r="G35"/>
  <c r="L34"/>
  <c r="H34"/>
  <c r="D34"/>
  <c r="I33"/>
  <c r="E33"/>
  <c r="J32"/>
  <c r="F32"/>
  <c r="K31"/>
  <c r="G31"/>
  <c r="L30"/>
  <c r="H30"/>
  <c r="D30"/>
  <c r="I29"/>
  <c r="E29"/>
  <c r="J28"/>
  <c r="F28"/>
  <c r="K27"/>
  <c r="G27"/>
  <c r="L26"/>
  <c r="H26"/>
  <c r="D26"/>
  <c r="I25"/>
  <c r="E25"/>
  <c r="J24"/>
  <c r="F24"/>
  <c r="K23"/>
  <c r="G23"/>
  <c r="L22"/>
  <c r="H22"/>
  <c r="D22"/>
  <c r="I21"/>
  <c r="E21"/>
  <c r="J20"/>
  <c r="F20"/>
  <c r="K19"/>
  <c r="G19"/>
  <c r="L18"/>
  <c r="H18"/>
  <c r="I17"/>
  <c r="E17"/>
  <c r="J16"/>
  <c r="F16"/>
  <c r="K15"/>
  <c r="G15"/>
  <c r="L14"/>
  <c r="H14"/>
  <c r="D14"/>
  <c r="I13"/>
  <c r="E13"/>
  <c r="J12"/>
  <c r="F12"/>
  <c r="K11"/>
  <c r="G11"/>
  <c r="L10"/>
  <c r="H10"/>
  <c r="D10"/>
  <c r="I9"/>
  <c r="E9"/>
  <c r="J8"/>
  <c r="F8"/>
  <c r="K7"/>
  <c r="G7"/>
  <c r="L6"/>
  <c r="H6"/>
  <c r="D6"/>
  <c r="C59" i="47"/>
  <c r="C56"/>
  <c r="C52"/>
  <c r="C48"/>
  <c r="C33"/>
  <c r="E18" i="45"/>
  <c r="C15"/>
  <c r="E13"/>
  <c r="C10"/>
  <c r="C15" i="44"/>
  <c r="J69" i="42"/>
  <c r="F69"/>
  <c r="I68"/>
  <c r="E68"/>
  <c r="H67"/>
  <c r="D67"/>
  <c r="G66"/>
  <c r="J65"/>
  <c r="F65"/>
  <c r="I64"/>
  <c r="E64"/>
  <c r="H63"/>
  <c r="D63"/>
  <c r="G62"/>
  <c r="J61"/>
  <c r="F61"/>
  <c r="I60"/>
  <c r="E60"/>
  <c r="H59"/>
  <c r="D59"/>
  <c r="G58"/>
  <c r="J57"/>
  <c r="F57"/>
  <c r="I56"/>
  <c r="E56"/>
  <c r="H55"/>
  <c r="D55"/>
  <c r="G54"/>
  <c r="J53"/>
  <c r="F53"/>
  <c r="I52"/>
  <c r="E52"/>
  <c r="H51"/>
  <c r="D51"/>
  <c r="G50"/>
  <c r="J49"/>
  <c r="F49"/>
  <c r="I48"/>
  <c r="E48"/>
  <c r="H47"/>
  <c r="D47"/>
  <c r="G46"/>
  <c r="J45"/>
  <c r="F45"/>
  <c r="I44"/>
  <c r="E44"/>
  <c r="H43"/>
  <c r="D43"/>
  <c r="G42"/>
  <c r="J41"/>
  <c r="F41"/>
  <c r="I40"/>
  <c r="E40"/>
  <c r="H39"/>
  <c r="D39"/>
  <c r="G38"/>
  <c r="J37"/>
  <c r="F37"/>
  <c r="I36"/>
  <c r="E36"/>
  <c r="H35"/>
  <c r="D35"/>
  <c r="G34"/>
  <c r="J33"/>
  <c r="F33"/>
  <c r="I32"/>
  <c r="E32"/>
  <c r="H31"/>
  <c r="D31"/>
  <c r="G30"/>
  <c r="J29"/>
  <c r="F29"/>
  <c r="I28"/>
  <c r="E28"/>
  <c r="H27"/>
  <c r="D27"/>
  <c r="G26"/>
  <c r="J25"/>
  <c r="F25"/>
  <c r="I24"/>
  <c r="E24"/>
  <c r="H23"/>
  <c r="D23"/>
  <c r="G22"/>
  <c r="J21"/>
  <c r="F21"/>
  <c r="I20"/>
  <c r="E20"/>
  <c r="H19"/>
  <c r="D19"/>
  <c r="G18"/>
  <c r="J17"/>
  <c r="F17"/>
  <c r="J16"/>
  <c r="F16"/>
  <c r="I15"/>
  <c r="E15"/>
  <c r="H14"/>
  <c r="D14"/>
  <c r="G13"/>
  <c r="J12"/>
  <c r="F12"/>
  <c r="I11"/>
  <c r="E11"/>
  <c r="H10"/>
  <c r="D10"/>
  <c r="G9"/>
  <c r="J8"/>
  <c r="F8"/>
  <c r="I7"/>
  <c r="E7"/>
  <c r="H6"/>
  <c r="D6"/>
  <c r="G5"/>
  <c r="G70" i="50"/>
  <c r="L69"/>
  <c r="D69"/>
  <c r="E68"/>
  <c r="F67"/>
  <c r="G66"/>
  <c r="H65"/>
  <c r="I64"/>
  <c r="J63"/>
  <c r="K62"/>
  <c r="L61"/>
  <c r="D61"/>
  <c r="E60"/>
  <c r="F59"/>
  <c r="G58"/>
  <c r="H57"/>
  <c r="J56"/>
  <c r="K55"/>
  <c r="L54"/>
  <c r="D54"/>
  <c r="E53"/>
  <c r="F52"/>
  <c r="G51"/>
  <c r="H50"/>
  <c r="K49"/>
  <c r="F49"/>
  <c r="K48"/>
  <c r="G48"/>
  <c r="L47"/>
  <c r="H47"/>
  <c r="D47"/>
  <c r="I46"/>
  <c r="E46"/>
  <c r="J45"/>
  <c r="F45"/>
  <c r="K44"/>
  <c r="G44"/>
  <c r="L43"/>
  <c r="H43"/>
  <c r="D43"/>
  <c r="I42"/>
  <c r="E42"/>
  <c r="J41"/>
  <c r="F41"/>
  <c r="K40"/>
  <c r="G40"/>
  <c r="L39"/>
  <c r="H39"/>
  <c r="D39"/>
  <c r="I38"/>
  <c r="E38"/>
  <c r="J37"/>
  <c r="F37"/>
  <c r="K36"/>
  <c r="G36"/>
  <c r="L35"/>
  <c r="H35"/>
  <c r="D35"/>
  <c r="I34"/>
  <c r="E34"/>
  <c r="J33"/>
  <c r="F33"/>
  <c r="K32"/>
  <c r="G32"/>
  <c r="L31"/>
  <c r="H31"/>
  <c r="I30"/>
  <c r="E30"/>
  <c r="J29"/>
  <c r="F29"/>
  <c r="K28"/>
  <c r="G28"/>
  <c r="L27"/>
  <c r="H27"/>
  <c r="D27"/>
  <c r="I26"/>
  <c r="E26"/>
  <c r="J25"/>
  <c r="F25"/>
  <c r="K24"/>
  <c r="G24"/>
  <c r="L23"/>
  <c r="H23"/>
  <c r="D23"/>
  <c r="I22"/>
  <c r="E22"/>
  <c r="J21"/>
  <c r="F21"/>
  <c r="K20"/>
  <c r="G20"/>
  <c r="L19"/>
  <c r="H19"/>
  <c r="D19"/>
  <c r="I18"/>
  <c r="J17"/>
  <c r="F17"/>
  <c r="K16"/>
  <c r="G16"/>
  <c r="L15"/>
  <c r="H15"/>
  <c r="D15"/>
  <c r="I14"/>
  <c r="E14"/>
  <c r="J13"/>
  <c r="F13"/>
  <c r="K12"/>
  <c r="G12"/>
  <c r="L11"/>
  <c r="H11"/>
  <c r="D11"/>
  <c r="I10"/>
  <c r="E10"/>
  <c r="J9"/>
  <c r="F9"/>
  <c r="K8"/>
  <c r="G8"/>
  <c r="L7"/>
  <c r="H7"/>
  <c r="D7"/>
  <c r="I6"/>
  <c r="E6"/>
  <c r="C71" i="47"/>
  <c r="C69"/>
  <c r="C67"/>
  <c r="C65"/>
  <c r="C63"/>
  <c r="C61"/>
  <c r="C55"/>
  <c r="C51"/>
  <c r="C47"/>
  <c r="C32"/>
  <c r="C31"/>
  <c r="C30"/>
  <c r="C29"/>
  <c r="C28"/>
  <c r="C27"/>
  <c r="C26"/>
  <c r="C25"/>
  <c r="C24"/>
  <c r="C23"/>
  <c r="C22"/>
  <c r="C21"/>
  <c r="C16" i="45"/>
  <c r="E14"/>
  <c r="C12"/>
  <c r="C16" i="44"/>
  <c r="E14"/>
  <c r="G69" i="42"/>
  <c r="J68"/>
  <c r="F68"/>
  <c r="I67"/>
  <c r="E67"/>
  <c r="H66"/>
  <c r="D66"/>
  <c r="G65"/>
  <c r="J64"/>
  <c r="F64"/>
  <c r="I63"/>
  <c r="E63"/>
  <c r="H62"/>
  <c r="D62"/>
  <c r="G61"/>
  <c r="J60"/>
  <c r="F60"/>
  <c r="I59"/>
  <c r="E59"/>
  <c r="H58"/>
  <c r="D58"/>
  <c r="G57"/>
  <c r="J56"/>
  <c r="F56"/>
  <c r="I55"/>
  <c r="E55"/>
  <c r="H54"/>
  <c r="D54"/>
  <c r="G53"/>
  <c r="J52"/>
  <c r="F52"/>
  <c r="I51"/>
  <c r="E51"/>
  <c r="H50"/>
  <c r="D50"/>
  <c r="G49"/>
  <c r="J48"/>
  <c r="F48"/>
  <c r="I47"/>
  <c r="E47"/>
  <c r="H46"/>
  <c r="D46"/>
  <c r="G45"/>
  <c r="J44"/>
  <c r="F44"/>
  <c r="I43"/>
  <c r="E43"/>
  <c r="H42"/>
  <c r="D42"/>
  <c r="G41"/>
  <c r="J40"/>
  <c r="F40"/>
  <c r="I39"/>
  <c r="E39"/>
  <c r="H38"/>
  <c r="D38"/>
  <c r="G37"/>
  <c r="J36"/>
  <c r="F36"/>
  <c r="I35"/>
  <c r="E35"/>
  <c r="H34"/>
  <c r="D34"/>
  <c r="G33"/>
  <c r="J32"/>
  <c r="F32"/>
  <c r="I31"/>
  <c r="E31"/>
  <c r="H30"/>
  <c r="D30"/>
  <c r="G29"/>
  <c r="J28"/>
  <c r="F28"/>
  <c r="I27"/>
  <c r="E27"/>
  <c r="H26"/>
  <c r="D26"/>
  <c r="G25"/>
  <c r="J24"/>
  <c r="F24"/>
  <c r="I23"/>
  <c r="E23"/>
  <c r="H22"/>
  <c r="D22"/>
  <c r="G21"/>
  <c r="J20"/>
  <c r="F20"/>
  <c r="I19"/>
  <c r="E19"/>
  <c r="H18"/>
  <c r="D18"/>
  <c r="G17"/>
  <c r="G16"/>
  <c r="J15"/>
  <c r="F15"/>
  <c r="I14"/>
  <c r="E14"/>
  <c r="H13"/>
  <c r="D13"/>
  <c r="G12"/>
  <c r="J11"/>
  <c r="F11"/>
  <c r="I10"/>
  <c r="E10"/>
  <c r="H9"/>
  <c r="D9"/>
  <c r="G8"/>
  <c r="J7"/>
  <c r="F7"/>
  <c r="I6"/>
  <c r="E6"/>
  <c r="H5"/>
  <c r="D5"/>
  <c r="H29"/>
  <c r="G28"/>
  <c r="F27"/>
  <c r="E26"/>
  <c r="D25"/>
  <c r="J23"/>
  <c r="I22"/>
  <c r="H21"/>
  <c r="G20"/>
  <c r="F19"/>
  <c r="E18"/>
  <c r="D17"/>
  <c r="E16"/>
  <c r="D15"/>
  <c r="J13"/>
  <c r="I12"/>
  <c r="H11"/>
  <c r="G10"/>
  <c r="F9"/>
  <c r="E8"/>
  <c r="D7"/>
  <c r="J5"/>
  <c r="J70" i="40"/>
  <c r="F70"/>
  <c r="K69"/>
  <c r="G69"/>
  <c r="L68"/>
  <c r="H68"/>
  <c r="D68"/>
  <c r="I67"/>
  <c r="E67"/>
  <c r="J66"/>
  <c r="F66"/>
  <c r="K65"/>
  <c r="G65"/>
  <c r="L64"/>
  <c r="H64"/>
  <c r="D64"/>
  <c r="I63"/>
  <c r="E63"/>
  <c r="J62"/>
  <c r="F62"/>
  <c r="K61"/>
  <c r="G61"/>
  <c r="L60"/>
  <c r="H60"/>
  <c r="D60"/>
  <c r="I59"/>
  <c r="E59"/>
  <c r="J58"/>
  <c r="F58"/>
  <c r="K57"/>
  <c r="G57"/>
  <c r="L56"/>
  <c r="H56"/>
  <c r="D56"/>
  <c r="I55"/>
  <c r="E55"/>
  <c r="J54"/>
  <c r="F54"/>
  <c r="K53"/>
  <c r="G53"/>
  <c r="L52"/>
  <c r="H52"/>
  <c r="D52"/>
  <c r="I51"/>
  <c r="E51"/>
  <c r="J50"/>
  <c r="F50"/>
  <c r="K49"/>
  <c r="G49"/>
  <c r="L48"/>
  <c r="H48"/>
  <c r="D48"/>
  <c r="I47"/>
  <c r="E47"/>
  <c r="J46"/>
  <c r="F46"/>
  <c r="K45"/>
  <c r="G45"/>
  <c r="L44"/>
  <c r="H44"/>
  <c r="D44"/>
  <c r="I43"/>
  <c r="E43"/>
  <c r="J42"/>
  <c r="F42"/>
  <c r="K41"/>
  <c r="G41"/>
  <c r="L40"/>
  <c r="H40"/>
  <c r="D40"/>
  <c r="I39"/>
  <c r="E39"/>
  <c r="J38"/>
  <c r="F38"/>
  <c r="K37"/>
  <c r="G37"/>
  <c r="L36"/>
  <c r="H36"/>
  <c r="D36"/>
  <c r="I35"/>
  <c r="E35"/>
  <c r="J34"/>
  <c r="F34"/>
  <c r="K33"/>
  <c r="G33"/>
  <c r="L32"/>
  <c r="H32"/>
  <c r="D32"/>
  <c r="I31"/>
  <c r="E31"/>
  <c r="J30"/>
  <c r="F30"/>
  <c r="K29"/>
  <c r="G29"/>
  <c r="L28"/>
  <c r="H28"/>
  <c r="D28"/>
  <c r="I27"/>
  <c r="E27"/>
  <c r="J26"/>
  <c r="F26"/>
  <c r="K25"/>
  <c r="G25"/>
  <c r="L24"/>
  <c r="H24"/>
  <c r="D24"/>
  <c r="I23"/>
  <c r="E23"/>
  <c r="J22"/>
  <c r="F22"/>
  <c r="K21"/>
  <c r="G21"/>
  <c r="L20"/>
  <c r="H20"/>
  <c r="D20"/>
  <c r="I19"/>
  <c r="E19"/>
  <c r="J18"/>
  <c r="F18"/>
  <c r="L17"/>
  <c r="H17"/>
  <c r="D17"/>
  <c r="I16"/>
  <c r="E16"/>
  <c r="J15"/>
  <c r="F15"/>
  <c r="K14"/>
  <c r="G14"/>
  <c r="L13"/>
  <c r="H13"/>
  <c r="D13"/>
  <c r="I12"/>
  <c r="E12"/>
  <c r="J11"/>
  <c r="F11"/>
  <c r="K10"/>
  <c r="G10"/>
  <c r="L9"/>
  <c r="H9"/>
  <c r="D9"/>
  <c r="I8"/>
  <c r="E8"/>
  <c r="J7"/>
  <c r="F7"/>
  <c r="K6"/>
  <c r="G6"/>
  <c r="C70" i="37"/>
  <c r="C68"/>
  <c r="C66"/>
  <c r="C64"/>
  <c r="C62"/>
  <c r="C60"/>
  <c r="C57"/>
  <c r="C53"/>
  <c r="C49"/>
  <c r="C33"/>
  <c r="C19"/>
  <c r="C18"/>
  <c r="C17"/>
  <c r="C16"/>
  <c r="C15"/>
  <c r="C14"/>
  <c r="C13"/>
  <c r="C12"/>
  <c r="C11"/>
  <c r="C10"/>
  <c r="C9"/>
  <c r="C8"/>
  <c r="V71" i="36"/>
  <c r="R71"/>
  <c r="N71"/>
  <c r="J71"/>
  <c r="F71"/>
  <c r="Y70"/>
  <c r="U70"/>
  <c r="Q70"/>
  <c r="M70"/>
  <c r="I70"/>
  <c r="E70"/>
  <c r="X69"/>
  <c r="T69"/>
  <c r="P69"/>
  <c r="L69"/>
  <c r="H69"/>
  <c r="D69"/>
  <c r="W68"/>
  <c r="S68"/>
  <c r="O68"/>
  <c r="K68"/>
  <c r="G68"/>
  <c r="C68"/>
  <c r="V67"/>
  <c r="R67"/>
  <c r="N67"/>
  <c r="J67"/>
  <c r="F67"/>
  <c r="Y66"/>
  <c r="U66"/>
  <c r="Q66"/>
  <c r="M66"/>
  <c r="I66"/>
  <c r="E66"/>
  <c r="X65"/>
  <c r="T65"/>
  <c r="P65"/>
  <c r="L65"/>
  <c r="H65"/>
  <c r="D65"/>
  <c r="W64"/>
  <c r="S64"/>
  <c r="O64"/>
  <c r="K64"/>
  <c r="G64"/>
  <c r="C64"/>
  <c r="V63"/>
  <c r="R63"/>
  <c r="N63"/>
  <c r="J63"/>
  <c r="F63"/>
  <c r="Y62"/>
  <c r="U62"/>
  <c r="Q62"/>
  <c r="M62"/>
  <c r="I62"/>
  <c r="E62"/>
  <c r="X61"/>
  <c r="T61"/>
  <c r="P61"/>
  <c r="L61"/>
  <c r="H61"/>
  <c r="D61"/>
  <c r="W60"/>
  <c r="S60"/>
  <c r="O60"/>
  <c r="I29" i="42"/>
  <c r="H28"/>
  <c r="G27"/>
  <c r="F26"/>
  <c r="E25"/>
  <c r="D24"/>
  <c r="J22"/>
  <c r="I21"/>
  <c r="H20"/>
  <c r="G19"/>
  <c r="F18"/>
  <c r="E17"/>
  <c r="H16"/>
  <c r="G15"/>
  <c r="F14"/>
  <c r="E13"/>
  <c r="D12"/>
  <c r="J10"/>
  <c r="I9"/>
  <c r="H8"/>
  <c r="G7"/>
  <c r="F6"/>
  <c r="E5"/>
  <c r="K70" i="40"/>
  <c r="G70"/>
  <c r="L69"/>
  <c r="H69"/>
  <c r="D69"/>
  <c r="I68"/>
  <c r="E68"/>
  <c r="J67"/>
  <c r="F67"/>
  <c r="K66"/>
  <c r="G66"/>
  <c r="L65"/>
  <c r="H65"/>
  <c r="D65"/>
  <c r="I64"/>
  <c r="E64"/>
  <c r="J63"/>
  <c r="F63"/>
  <c r="K62"/>
  <c r="G62"/>
  <c r="L61"/>
  <c r="H61"/>
  <c r="D61"/>
  <c r="I60"/>
  <c r="E60"/>
  <c r="J59"/>
  <c r="F59"/>
  <c r="K58"/>
  <c r="G58"/>
  <c r="L57"/>
  <c r="H57"/>
  <c r="D57"/>
  <c r="I56"/>
  <c r="E56"/>
  <c r="J55"/>
  <c r="F55"/>
  <c r="K54"/>
  <c r="G54"/>
  <c r="L53"/>
  <c r="H53"/>
  <c r="D53"/>
  <c r="I52"/>
  <c r="E52"/>
  <c r="J51"/>
  <c r="F51"/>
  <c r="K50"/>
  <c r="G50"/>
  <c r="L49"/>
  <c r="H49"/>
  <c r="D49"/>
  <c r="I48"/>
  <c r="E48"/>
  <c r="J47"/>
  <c r="F47"/>
  <c r="K46"/>
  <c r="G46"/>
  <c r="L45"/>
  <c r="H45"/>
  <c r="D45"/>
  <c r="I44"/>
  <c r="E44"/>
  <c r="J43"/>
  <c r="F43"/>
  <c r="K42"/>
  <c r="G42"/>
  <c r="L41"/>
  <c r="H41"/>
  <c r="D41"/>
  <c r="I40"/>
  <c r="E40"/>
  <c r="J39"/>
  <c r="F39"/>
  <c r="K38"/>
  <c r="G38"/>
  <c r="L37"/>
  <c r="H37"/>
  <c r="D37"/>
  <c r="I36"/>
  <c r="E36"/>
  <c r="J35"/>
  <c r="F35"/>
  <c r="K34"/>
  <c r="G34"/>
  <c r="L33"/>
  <c r="H33"/>
  <c r="D33"/>
  <c r="I32"/>
  <c r="E32"/>
  <c r="J31"/>
  <c r="F31"/>
  <c r="K30"/>
  <c r="G30"/>
  <c r="L29"/>
  <c r="H29"/>
  <c r="D29"/>
  <c r="I28"/>
  <c r="E28"/>
  <c r="J27"/>
  <c r="F27"/>
  <c r="K26"/>
  <c r="G26"/>
  <c r="L25"/>
  <c r="H25"/>
  <c r="D25"/>
  <c r="I24"/>
  <c r="E24"/>
  <c r="J23"/>
  <c r="F23"/>
  <c r="K22"/>
  <c r="G22"/>
  <c r="L21"/>
  <c r="H21"/>
  <c r="D21"/>
  <c r="I20"/>
  <c r="E20"/>
  <c r="J19"/>
  <c r="F19"/>
  <c r="K18"/>
  <c r="G18"/>
  <c r="I17"/>
  <c r="E17"/>
  <c r="J16"/>
  <c r="F16"/>
  <c r="K15"/>
  <c r="G15"/>
  <c r="L14"/>
  <c r="H14"/>
  <c r="D14"/>
  <c r="I13"/>
  <c r="E13"/>
  <c r="J12"/>
  <c r="F12"/>
  <c r="K11"/>
  <c r="G11"/>
  <c r="L10"/>
  <c r="H10"/>
  <c r="D10"/>
  <c r="I9"/>
  <c r="E9"/>
  <c r="J8"/>
  <c r="F8"/>
  <c r="K7"/>
  <c r="G7"/>
  <c r="L6"/>
  <c r="H6"/>
  <c r="D6"/>
  <c r="C59" i="37"/>
  <c r="C56"/>
  <c r="C52"/>
  <c r="C48"/>
  <c r="C47"/>
  <c r="C32"/>
  <c r="C31"/>
  <c r="C30"/>
  <c r="C29"/>
  <c r="C28"/>
  <c r="C27"/>
  <c r="C26"/>
  <c r="C25"/>
  <c r="C24"/>
  <c r="C23"/>
  <c r="C22"/>
  <c r="C21"/>
  <c r="W71" i="36"/>
  <c r="S71"/>
  <c r="O71"/>
  <c r="K71"/>
  <c r="G71"/>
  <c r="C71"/>
  <c r="V70"/>
  <c r="R70"/>
  <c r="N70"/>
  <c r="J70"/>
  <c r="F70"/>
  <c r="Y69"/>
  <c r="U69"/>
  <c r="Q69"/>
  <c r="M69"/>
  <c r="I69"/>
  <c r="E69"/>
  <c r="X68"/>
  <c r="T68"/>
  <c r="P68"/>
  <c r="L68"/>
  <c r="H68"/>
  <c r="D68"/>
  <c r="W67"/>
  <c r="S67"/>
  <c r="O67"/>
  <c r="K67"/>
  <c r="G67"/>
  <c r="C67"/>
  <c r="V66"/>
  <c r="R66"/>
  <c r="N66"/>
  <c r="J66"/>
  <c r="F66"/>
  <c r="Y65"/>
  <c r="U65"/>
  <c r="Q65"/>
  <c r="M65"/>
  <c r="I65"/>
  <c r="E65"/>
  <c r="X64"/>
  <c r="T64"/>
  <c r="P64"/>
  <c r="L64"/>
  <c r="H64"/>
  <c r="D64"/>
  <c r="W63"/>
  <c r="S63"/>
  <c r="O63"/>
  <c r="K63"/>
  <c r="G63"/>
  <c r="C63"/>
  <c r="V62"/>
  <c r="R62"/>
  <c r="N62"/>
  <c r="J62"/>
  <c r="F62"/>
  <c r="Y61"/>
  <c r="U61"/>
  <c r="Q61"/>
  <c r="M61"/>
  <c r="I61"/>
  <c r="E61"/>
  <c r="X60"/>
  <c r="T60"/>
  <c r="P60"/>
  <c r="L60"/>
  <c r="E30" i="42"/>
  <c r="D29"/>
  <c r="J27"/>
  <c r="I26"/>
  <c r="H25"/>
  <c r="G24"/>
  <c r="F23"/>
  <c r="E22"/>
  <c r="D21"/>
  <c r="J19"/>
  <c r="I18"/>
  <c r="H17"/>
  <c r="I16"/>
  <c r="H15"/>
  <c r="G14"/>
  <c r="F13"/>
  <c r="E12"/>
  <c r="D11"/>
  <c r="J9"/>
  <c r="I8"/>
  <c r="H7"/>
  <c r="G6"/>
  <c r="F5"/>
  <c r="L70" i="40"/>
  <c r="H70"/>
  <c r="D70"/>
  <c r="I69"/>
  <c r="E69"/>
  <c r="J68"/>
  <c r="F68"/>
  <c r="K67"/>
  <c r="G67"/>
  <c r="L66"/>
  <c r="H66"/>
  <c r="D66"/>
  <c r="I65"/>
  <c r="E65"/>
  <c r="J64"/>
  <c r="F64"/>
  <c r="K63"/>
  <c r="G63"/>
  <c r="L62"/>
  <c r="H62"/>
  <c r="D62"/>
  <c r="I61"/>
  <c r="E61"/>
  <c r="J60"/>
  <c r="F60"/>
  <c r="K59"/>
  <c r="G59"/>
  <c r="L58"/>
  <c r="H58"/>
  <c r="D58"/>
  <c r="I57"/>
  <c r="E57"/>
  <c r="J56"/>
  <c r="F56"/>
  <c r="K55"/>
  <c r="G55"/>
  <c r="L54"/>
  <c r="H54"/>
  <c r="D54"/>
  <c r="I53"/>
  <c r="E53"/>
  <c r="J52"/>
  <c r="F52"/>
  <c r="K51"/>
  <c r="G51"/>
  <c r="L50"/>
  <c r="H50"/>
  <c r="D50"/>
  <c r="I49"/>
  <c r="E49"/>
  <c r="J48"/>
  <c r="F48"/>
  <c r="K47"/>
  <c r="G47"/>
  <c r="L46"/>
  <c r="H46"/>
  <c r="D46"/>
  <c r="I45"/>
  <c r="E45"/>
  <c r="J44"/>
  <c r="F44"/>
  <c r="K43"/>
  <c r="G43"/>
  <c r="L42"/>
  <c r="H42"/>
  <c r="D42"/>
  <c r="I41"/>
  <c r="E41"/>
  <c r="J40"/>
  <c r="F40"/>
  <c r="K39"/>
  <c r="G39"/>
  <c r="L38"/>
  <c r="H38"/>
  <c r="D38"/>
  <c r="I37"/>
  <c r="E37"/>
  <c r="J36"/>
  <c r="F36"/>
  <c r="K35"/>
  <c r="G35"/>
  <c r="L34"/>
  <c r="H34"/>
  <c r="D34"/>
  <c r="I33"/>
  <c r="E33"/>
  <c r="J32"/>
  <c r="F32"/>
  <c r="K31"/>
  <c r="G31"/>
  <c r="L30"/>
  <c r="H30"/>
  <c r="D30"/>
  <c r="I29"/>
  <c r="E29"/>
  <c r="J28"/>
  <c r="F28"/>
  <c r="K27"/>
  <c r="G27"/>
  <c r="L26"/>
  <c r="H26"/>
  <c r="D26"/>
  <c r="I25"/>
  <c r="E25"/>
  <c r="J24"/>
  <c r="F24"/>
  <c r="K23"/>
  <c r="G23"/>
  <c r="L22"/>
  <c r="H22"/>
  <c r="D22"/>
  <c r="I21"/>
  <c r="E21"/>
  <c r="J20"/>
  <c r="F20"/>
  <c r="K19"/>
  <c r="G19"/>
  <c r="L18"/>
  <c r="H18"/>
  <c r="D18"/>
  <c r="J17"/>
  <c r="F17"/>
  <c r="K16"/>
  <c r="G16"/>
  <c r="L15"/>
  <c r="H15"/>
  <c r="D15"/>
  <c r="I14"/>
  <c r="E14"/>
  <c r="J13"/>
  <c r="F13"/>
  <c r="K12"/>
  <c r="G12"/>
  <c r="L11"/>
  <c r="H11"/>
  <c r="D11"/>
  <c r="I10"/>
  <c r="E10"/>
  <c r="J9"/>
  <c r="F9"/>
  <c r="K8"/>
  <c r="G8"/>
  <c r="L7"/>
  <c r="H7"/>
  <c r="D7"/>
  <c r="I6"/>
  <c r="E6"/>
  <c r="C71" i="37"/>
  <c r="C69"/>
  <c r="C67"/>
  <c r="C65"/>
  <c r="C63"/>
  <c r="C61"/>
  <c r="C55"/>
  <c r="C51"/>
  <c r="C46"/>
  <c r="X71" i="36"/>
  <c r="T71"/>
  <c r="P71"/>
  <c r="L71"/>
  <c r="H71"/>
  <c r="D71"/>
  <c r="W70"/>
  <c r="S70"/>
  <c r="O70"/>
  <c r="K70"/>
  <c r="G70"/>
  <c r="C70"/>
  <c r="V69"/>
  <c r="R69"/>
  <c r="N69"/>
  <c r="J69"/>
  <c r="F69"/>
  <c r="Y68"/>
  <c r="U68"/>
  <c r="Q68"/>
  <c r="M68"/>
  <c r="I68"/>
  <c r="E68"/>
  <c r="X67"/>
  <c r="T67"/>
  <c r="P67"/>
  <c r="L67"/>
  <c r="H67"/>
  <c r="D67"/>
  <c r="W66"/>
  <c r="S66"/>
  <c r="O66"/>
  <c r="K66"/>
  <c r="G66"/>
  <c r="C66"/>
  <c r="V65"/>
  <c r="R65"/>
  <c r="N65"/>
  <c r="J65"/>
  <c r="F65"/>
  <c r="Y64"/>
  <c r="U64"/>
  <c r="Q64"/>
  <c r="M64"/>
  <c r="I64"/>
  <c r="E64"/>
  <c r="X63"/>
  <c r="T63"/>
  <c r="P63"/>
  <c r="L63"/>
  <c r="H63"/>
  <c r="D63"/>
  <c r="W62"/>
  <c r="S62"/>
  <c r="O62"/>
  <c r="K62"/>
  <c r="G62"/>
  <c r="C62"/>
  <c r="V61"/>
  <c r="R61"/>
  <c r="N61"/>
  <c r="J61"/>
  <c r="F61"/>
  <c r="Y60"/>
  <c r="U60"/>
  <c r="Q60"/>
  <c r="M60"/>
  <c r="I60"/>
  <c r="E60"/>
  <c r="X59"/>
  <c r="T59"/>
  <c r="P59"/>
  <c r="L59"/>
  <c r="H59"/>
  <c r="D59"/>
  <c r="W58"/>
  <c r="S58"/>
  <c r="O58"/>
  <c r="K58"/>
  <c r="G58"/>
  <c r="C58"/>
  <c r="V57"/>
  <c r="R57"/>
  <c r="N57"/>
  <c r="J57"/>
  <c r="F57"/>
  <c r="Y56"/>
  <c r="U56"/>
  <c r="Q56"/>
  <c r="M56"/>
  <c r="I56"/>
  <c r="E56"/>
  <c r="X55"/>
  <c r="T55"/>
  <c r="P55"/>
  <c r="L55"/>
  <c r="H55"/>
  <c r="D55"/>
  <c r="W54"/>
  <c r="S54"/>
  <c r="O54"/>
  <c r="K54"/>
  <c r="G54"/>
  <c r="C54"/>
  <c r="V53"/>
  <c r="R53"/>
  <c r="N53"/>
  <c r="J53"/>
  <c r="F53"/>
  <c r="Y52"/>
  <c r="U52"/>
  <c r="Q52"/>
  <c r="M52"/>
  <c r="I52"/>
  <c r="E52"/>
  <c r="X51"/>
  <c r="T51"/>
  <c r="P51"/>
  <c r="L51"/>
  <c r="H51"/>
  <c r="D51"/>
  <c r="W50"/>
  <c r="S50"/>
  <c r="O50"/>
  <c r="K50"/>
  <c r="G50"/>
  <c r="C50"/>
  <c r="V49"/>
  <c r="R49"/>
  <c r="N49"/>
  <c r="F30" i="42"/>
  <c r="E29"/>
  <c r="D28"/>
  <c r="J26"/>
  <c r="I25"/>
  <c r="H24"/>
  <c r="G23"/>
  <c r="F22"/>
  <c r="E21"/>
  <c r="D20"/>
  <c r="J18"/>
  <c r="I17"/>
  <c r="D16"/>
  <c r="J14"/>
  <c r="I13"/>
  <c r="H12"/>
  <c r="G11"/>
  <c r="F10"/>
  <c r="E9"/>
  <c r="D8"/>
  <c r="J6"/>
  <c r="I5"/>
  <c r="I70" i="40"/>
  <c r="E70"/>
  <c r="J69"/>
  <c r="F69"/>
  <c r="K68"/>
  <c r="G68"/>
  <c r="L67"/>
  <c r="H67"/>
  <c r="D67"/>
  <c r="I66"/>
  <c r="E66"/>
  <c r="J65"/>
  <c r="F65"/>
  <c r="K64"/>
  <c r="G64"/>
  <c r="L63"/>
  <c r="H63"/>
  <c r="D63"/>
  <c r="I62"/>
  <c r="E62"/>
  <c r="J61"/>
  <c r="F61"/>
  <c r="K60"/>
  <c r="G60"/>
  <c r="L59"/>
  <c r="H59"/>
  <c r="D59"/>
  <c r="I58"/>
  <c r="E58"/>
  <c r="J57"/>
  <c r="F57"/>
  <c r="K56"/>
  <c r="G56"/>
  <c r="L55"/>
  <c r="H55"/>
  <c r="D55"/>
  <c r="I54"/>
  <c r="E54"/>
  <c r="J53"/>
  <c r="F53"/>
  <c r="K52"/>
  <c r="G52"/>
  <c r="L51"/>
  <c r="H51"/>
  <c r="D51"/>
  <c r="I50"/>
  <c r="E50"/>
  <c r="J49"/>
  <c r="F49"/>
  <c r="K48"/>
  <c r="G48"/>
  <c r="L47"/>
  <c r="H47"/>
  <c r="D47"/>
  <c r="I46"/>
  <c r="E46"/>
  <c r="J45"/>
  <c r="F45"/>
  <c r="K44"/>
  <c r="G44"/>
  <c r="L43"/>
  <c r="H43"/>
  <c r="D43"/>
  <c r="I42"/>
  <c r="E42"/>
  <c r="J41"/>
  <c r="F41"/>
  <c r="K40"/>
  <c r="G40"/>
  <c r="L39"/>
  <c r="H39"/>
  <c r="D39"/>
  <c r="I38"/>
  <c r="E38"/>
  <c r="J37"/>
  <c r="F37"/>
  <c r="K36"/>
  <c r="G36"/>
  <c r="L35"/>
  <c r="H35"/>
  <c r="D35"/>
  <c r="I34"/>
  <c r="E34"/>
  <c r="J33"/>
  <c r="F33"/>
  <c r="K32"/>
  <c r="G32"/>
  <c r="L31"/>
  <c r="H31"/>
  <c r="D31"/>
  <c r="I30"/>
  <c r="E30"/>
  <c r="J29"/>
  <c r="F29"/>
  <c r="K28"/>
  <c r="G28"/>
  <c r="L27"/>
  <c r="H27"/>
  <c r="D27"/>
  <c r="I26"/>
  <c r="E26"/>
  <c r="J25"/>
  <c r="F25"/>
  <c r="K24"/>
  <c r="G24"/>
  <c r="L23"/>
  <c r="H23"/>
  <c r="D23"/>
  <c r="I22"/>
  <c r="E22"/>
  <c r="J21"/>
  <c r="F21"/>
  <c r="K20"/>
  <c r="G20"/>
  <c r="L19"/>
  <c r="H19"/>
  <c r="D19"/>
  <c r="I18"/>
  <c r="E18"/>
  <c r="K17"/>
  <c r="G17"/>
  <c r="L16"/>
  <c r="H16"/>
  <c r="D16"/>
  <c r="I15"/>
  <c r="E15"/>
  <c r="J14"/>
  <c r="F14"/>
  <c r="K13"/>
  <c r="G13"/>
  <c r="L12"/>
  <c r="H12"/>
  <c r="D12"/>
  <c r="I11"/>
  <c r="E11"/>
  <c r="J10"/>
  <c r="F10"/>
  <c r="K9"/>
  <c r="G9"/>
  <c r="L8"/>
  <c r="H8"/>
  <c r="D8"/>
  <c r="I7"/>
  <c r="E7"/>
  <c r="J6"/>
  <c r="F6"/>
  <c r="C72" i="37"/>
  <c r="C58"/>
  <c r="C54"/>
  <c r="C50"/>
  <c r="C45"/>
  <c r="C44"/>
  <c r="C43"/>
  <c r="C42"/>
  <c r="C41"/>
  <c r="C40"/>
  <c r="C39"/>
  <c r="C38"/>
  <c r="C37"/>
  <c r="C36"/>
  <c r="C35"/>
  <c r="C34"/>
  <c r="C20"/>
  <c r="Y71" i="36"/>
  <c r="U71"/>
  <c r="Q71"/>
  <c r="M71"/>
  <c r="I71"/>
  <c r="E71"/>
  <c r="X70"/>
  <c r="T70"/>
  <c r="P70"/>
  <c r="L70"/>
  <c r="H70"/>
  <c r="D70"/>
  <c r="W69"/>
  <c r="S69"/>
  <c r="O69"/>
  <c r="K69"/>
  <c r="G69"/>
  <c r="C69"/>
  <c r="V68"/>
  <c r="R68"/>
  <c r="N68"/>
  <c r="J68"/>
  <c r="F68"/>
  <c r="Y67"/>
  <c r="U67"/>
  <c r="Q67"/>
  <c r="M67"/>
  <c r="I67"/>
  <c r="E67"/>
  <c r="X66"/>
  <c r="T66"/>
  <c r="P66"/>
  <c r="L66"/>
  <c r="H66"/>
  <c r="D66"/>
  <c r="W65"/>
  <c r="S65"/>
  <c r="O65"/>
  <c r="K65"/>
  <c r="G65"/>
  <c r="C65"/>
  <c r="V64"/>
  <c r="R64"/>
  <c r="N64"/>
  <c r="J64"/>
  <c r="F64"/>
  <c r="Y63"/>
  <c r="U63"/>
  <c r="Q63"/>
  <c r="M63"/>
  <c r="I63"/>
  <c r="E63"/>
  <c r="X62"/>
  <c r="T62"/>
  <c r="P62"/>
  <c r="L62"/>
  <c r="H62"/>
  <c r="D62"/>
  <c r="W61"/>
  <c r="S61"/>
  <c r="O61"/>
  <c r="K61"/>
  <c r="G61"/>
  <c r="C61"/>
  <c r="V60"/>
  <c r="R60"/>
  <c r="N60"/>
  <c r="J60"/>
  <c r="F60"/>
  <c r="Y59"/>
  <c r="U59"/>
  <c r="Q59"/>
  <c r="M59"/>
  <c r="I59"/>
  <c r="E59"/>
  <c r="X58"/>
  <c r="T58"/>
  <c r="P58"/>
  <c r="L58"/>
  <c r="H58"/>
  <c r="D58"/>
  <c r="W57"/>
  <c r="S57"/>
  <c r="O57"/>
  <c r="K57"/>
  <c r="G57"/>
  <c r="C57"/>
  <c r="V56"/>
  <c r="R56"/>
  <c r="N56"/>
  <c r="J56"/>
  <c r="F56"/>
  <c r="Y55"/>
  <c r="U55"/>
  <c r="Q55"/>
  <c r="M55"/>
  <c r="I55"/>
  <c r="E55"/>
  <c r="X54"/>
  <c r="T54"/>
  <c r="P54"/>
  <c r="L54"/>
  <c r="H54"/>
  <c r="D54"/>
  <c r="W53"/>
  <c r="S53"/>
  <c r="O53"/>
  <c r="K53"/>
  <c r="G53"/>
  <c r="C53"/>
  <c r="V52"/>
  <c r="R52"/>
  <c r="N52"/>
  <c r="J52"/>
  <c r="F52"/>
  <c r="Y51"/>
  <c r="U51"/>
  <c r="Q51"/>
  <c r="M51"/>
  <c r="I51"/>
  <c r="E51"/>
  <c r="X50"/>
  <c r="T50"/>
  <c r="P50"/>
  <c r="L50"/>
  <c r="H50"/>
  <c r="D50"/>
  <c r="W49"/>
  <c r="S49"/>
  <c r="O49"/>
  <c r="K60"/>
  <c r="C60"/>
  <c r="R59"/>
  <c r="J59"/>
  <c r="Y58"/>
  <c r="Q58"/>
  <c r="I58"/>
  <c r="X57"/>
  <c r="P57"/>
  <c r="H57"/>
  <c r="W56"/>
  <c r="O56"/>
  <c r="G56"/>
  <c r="V55"/>
  <c r="N55"/>
  <c r="F55"/>
  <c r="U54"/>
  <c r="M54"/>
  <c r="E54"/>
  <c r="T53"/>
  <c r="L53"/>
  <c r="D53"/>
  <c r="S52"/>
  <c r="K52"/>
  <c r="C52"/>
  <c r="R51"/>
  <c r="J51"/>
  <c r="Y50"/>
  <c r="Q50"/>
  <c r="I50"/>
  <c r="X49"/>
  <c r="P49"/>
  <c r="J49"/>
  <c r="F49"/>
  <c r="Y48"/>
  <c r="U48"/>
  <c r="Q48"/>
  <c r="M48"/>
  <c r="I48"/>
  <c r="E48"/>
  <c r="X47"/>
  <c r="T47"/>
  <c r="P47"/>
  <c r="L47"/>
  <c r="H47"/>
  <c r="D47"/>
  <c r="W46"/>
  <c r="S46"/>
  <c r="O46"/>
  <c r="K46"/>
  <c r="G46"/>
  <c r="C46"/>
  <c r="V45"/>
  <c r="R45"/>
  <c r="N45"/>
  <c r="J45"/>
  <c r="F45"/>
  <c r="Y44"/>
  <c r="U44"/>
  <c r="Q44"/>
  <c r="M44"/>
  <c r="I44"/>
  <c r="E44"/>
  <c r="X43"/>
  <c r="T43"/>
  <c r="P43"/>
  <c r="L43"/>
  <c r="H43"/>
  <c r="D43"/>
  <c r="W42"/>
  <c r="S42"/>
  <c r="O42"/>
  <c r="K42"/>
  <c r="G42"/>
  <c r="C42"/>
  <c r="V41"/>
  <c r="R41"/>
  <c r="N41"/>
  <c r="J41"/>
  <c r="F41"/>
  <c r="Y40"/>
  <c r="U40"/>
  <c r="Q40"/>
  <c r="M40"/>
  <c r="I40"/>
  <c r="E40"/>
  <c r="X39"/>
  <c r="T39"/>
  <c r="P39"/>
  <c r="L39"/>
  <c r="H39"/>
  <c r="D39"/>
  <c r="W38"/>
  <c r="S38"/>
  <c r="O38"/>
  <c r="K38"/>
  <c r="G38"/>
  <c r="C38"/>
  <c r="V37"/>
  <c r="R37"/>
  <c r="N37"/>
  <c r="J37"/>
  <c r="F37"/>
  <c r="Y36"/>
  <c r="U36"/>
  <c r="Q36"/>
  <c r="M36"/>
  <c r="I36"/>
  <c r="E36"/>
  <c r="X35"/>
  <c r="T35"/>
  <c r="P35"/>
  <c r="L35"/>
  <c r="H35"/>
  <c r="D35"/>
  <c r="W34"/>
  <c r="S34"/>
  <c r="O34"/>
  <c r="K34"/>
  <c r="G34"/>
  <c r="C34"/>
  <c r="V33"/>
  <c r="R33"/>
  <c r="N33"/>
  <c r="J33"/>
  <c r="F33"/>
  <c r="Y32"/>
  <c r="U32"/>
  <c r="Q32"/>
  <c r="M32"/>
  <c r="I32"/>
  <c r="E32"/>
  <c r="X31"/>
  <c r="T31"/>
  <c r="P31"/>
  <c r="L31"/>
  <c r="H31"/>
  <c r="D31"/>
  <c r="W30"/>
  <c r="S30"/>
  <c r="O30"/>
  <c r="K30"/>
  <c r="G30"/>
  <c r="C30"/>
  <c r="V29"/>
  <c r="R29"/>
  <c r="N29"/>
  <c r="J29"/>
  <c r="F29"/>
  <c r="Y28"/>
  <c r="U28"/>
  <c r="Q28"/>
  <c r="M28"/>
  <c r="I28"/>
  <c r="E28"/>
  <c r="X27"/>
  <c r="T27"/>
  <c r="P27"/>
  <c r="L27"/>
  <c r="H27"/>
  <c r="D27"/>
  <c r="W26"/>
  <c r="S26"/>
  <c r="O26"/>
  <c r="K26"/>
  <c r="G26"/>
  <c r="C26"/>
  <c r="V25"/>
  <c r="R25"/>
  <c r="N25"/>
  <c r="J25"/>
  <c r="F25"/>
  <c r="Y24"/>
  <c r="U24"/>
  <c r="Q24"/>
  <c r="M24"/>
  <c r="I24"/>
  <c r="E24"/>
  <c r="X23"/>
  <c r="T23"/>
  <c r="P23"/>
  <c r="L23"/>
  <c r="H23"/>
  <c r="D23"/>
  <c r="W22"/>
  <c r="S22"/>
  <c r="O22"/>
  <c r="K22"/>
  <c r="G22"/>
  <c r="C22"/>
  <c r="V21"/>
  <c r="R21"/>
  <c r="N21"/>
  <c r="J21"/>
  <c r="F21"/>
  <c r="Y20"/>
  <c r="U20"/>
  <c r="Q20"/>
  <c r="M20"/>
  <c r="I20"/>
  <c r="E20"/>
  <c r="X19"/>
  <c r="T19"/>
  <c r="P19"/>
  <c r="L19"/>
  <c r="H19"/>
  <c r="D19"/>
  <c r="W18"/>
  <c r="S18"/>
  <c r="O18"/>
  <c r="K18"/>
  <c r="G18"/>
  <c r="C18"/>
  <c r="V17"/>
  <c r="R17"/>
  <c r="N17"/>
  <c r="J17"/>
  <c r="F17"/>
  <c r="Y16"/>
  <c r="U16"/>
  <c r="Q16"/>
  <c r="M16"/>
  <c r="I16"/>
  <c r="E16"/>
  <c r="X15"/>
  <c r="T15"/>
  <c r="P15"/>
  <c r="L15"/>
  <c r="H15"/>
  <c r="D15"/>
  <c r="W14"/>
  <c r="S14"/>
  <c r="O14"/>
  <c r="K14"/>
  <c r="G14"/>
  <c r="C14"/>
  <c r="V13"/>
  <c r="R13"/>
  <c r="N13"/>
  <c r="J13"/>
  <c r="F13"/>
  <c r="Y12"/>
  <c r="U12"/>
  <c r="Q12"/>
  <c r="M12"/>
  <c r="I12"/>
  <c r="E12"/>
  <c r="X11"/>
  <c r="T11"/>
  <c r="P11"/>
  <c r="D60"/>
  <c r="S59"/>
  <c r="K59"/>
  <c r="C59"/>
  <c r="R58"/>
  <c r="J58"/>
  <c r="Y57"/>
  <c r="Q57"/>
  <c r="I57"/>
  <c r="X56"/>
  <c r="P56"/>
  <c r="H56"/>
  <c r="W55"/>
  <c r="O55"/>
  <c r="G55"/>
  <c r="V54"/>
  <c r="N54"/>
  <c r="F54"/>
  <c r="U53"/>
  <c r="M53"/>
  <c r="E53"/>
  <c r="T52"/>
  <c r="L52"/>
  <c r="D52"/>
  <c r="S51"/>
  <c r="K51"/>
  <c r="C51"/>
  <c r="R50"/>
  <c r="J50"/>
  <c r="Y49"/>
  <c r="Q49"/>
  <c r="K49"/>
  <c r="G49"/>
  <c r="C49"/>
  <c r="V48"/>
  <c r="R48"/>
  <c r="N48"/>
  <c r="J48"/>
  <c r="F48"/>
  <c r="Y47"/>
  <c r="U47"/>
  <c r="Q47"/>
  <c r="M47"/>
  <c r="I47"/>
  <c r="E47"/>
  <c r="X46"/>
  <c r="T46"/>
  <c r="P46"/>
  <c r="L46"/>
  <c r="H46"/>
  <c r="D46"/>
  <c r="W45"/>
  <c r="S45"/>
  <c r="O45"/>
  <c r="K45"/>
  <c r="G45"/>
  <c r="C45"/>
  <c r="V44"/>
  <c r="R44"/>
  <c r="N44"/>
  <c r="J44"/>
  <c r="F44"/>
  <c r="Y43"/>
  <c r="U43"/>
  <c r="Q43"/>
  <c r="M43"/>
  <c r="I43"/>
  <c r="E43"/>
  <c r="X42"/>
  <c r="T42"/>
  <c r="P42"/>
  <c r="L42"/>
  <c r="H42"/>
  <c r="D42"/>
  <c r="W41"/>
  <c r="S41"/>
  <c r="O41"/>
  <c r="K41"/>
  <c r="G41"/>
  <c r="C41"/>
  <c r="V40"/>
  <c r="R40"/>
  <c r="N40"/>
  <c r="J40"/>
  <c r="F40"/>
  <c r="Y39"/>
  <c r="U39"/>
  <c r="Q39"/>
  <c r="M39"/>
  <c r="I39"/>
  <c r="E39"/>
  <c r="X38"/>
  <c r="T38"/>
  <c r="P38"/>
  <c r="L38"/>
  <c r="H38"/>
  <c r="D38"/>
  <c r="W37"/>
  <c r="S37"/>
  <c r="O37"/>
  <c r="K37"/>
  <c r="G37"/>
  <c r="C37"/>
  <c r="V36"/>
  <c r="R36"/>
  <c r="N36"/>
  <c r="J36"/>
  <c r="F36"/>
  <c r="Y35"/>
  <c r="U35"/>
  <c r="Q35"/>
  <c r="M35"/>
  <c r="I35"/>
  <c r="E35"/>
  <c r="X34"/>
  <c r="T34"/>
  <c r="P34"/>
  <c r="L34"/>
  <c r="H34"/>
  <c r="D34"/>
  <c r="W33"/>
  <c r="S33"/>
  <c r="O33"/>
  <c r="K33"/>
  <c r="G33"/>
  <c r="C33"/>
  <c r="V32"/>
  <c r="R32"/>
  <c r="N32"/>
  <c r="J32"/>
  <c r="F32"/>
  <c r="Y31"/>
  <c r="U31"/>
  <c r="Q31"/>
  <c r="M31"/>
  <c r="I31"/>
  <c r="E31"/>
  <c r="X30"/>
  <c r="T30"/>
  <c r="P30"/>
  <c r="L30"/>
  <c r="H30"/>
  <c r="D30"/>
  <c r="W29"/>
  <c r="S29"/>
  <c r="O29"/>
  <c r="K29"/>
  <c r="G29"/>
  <c r="C29"/>
  <c r="V28"/>
  <c r="R28"/>
  <c r="N28"/>
  <c r="J28"/>
  <c r="F28"/>
  <c r="Y27"/>
  <c r="U27"/>
  <c r="Q27"/>
  <c r="M27"/>
  <c r="I27"/>
  <c r="E27"/>
  <c r="X26"/>
  <c r="T26"/>
  <c r="P26"/>
  <c r="L26"/>
  <c r="H26"/>
  <c r="D26"/>
  <c r="W25"/>
  <c r="S25"/>
  <c r="O25"/>
  <c r="K25"/>
  <c r="G25"/>
  <c r="C25"/>
  <c r="V24"/>
  <c r="R24"/>
  <c r="N24"/>
  <c r="J24"/>
  <c r="F24"/>
  <c r="Y23"/>
  <c r="U23"/>
  <c r="Q23"/>
  <c r="M23"/>
  <c r="I23"/>
  <c r="E23"/>
  <c r="X22"/>
  <c r="T22"/>
  <c r="P22"/>
  <c r="L22"/>
  <c r="H22"/>
  <c r="D22"/>
  <c r="W21"/>
  <c r="S21"/>
  <c r="O21"/>
  <c r="K21"/>
  <c r="G21"/>
  <c r="C21"/>
  <c r="V20"/>
  <c r="R20"/>
  <c r="N20"/>
  <c r="J20"/>
  <c r="F20"/>
  <c r="Y19"/>
  <c r="U19"/>
  <c r="Q19"/>
  <c r="M19"/>
  <c r="I19"/>
  <c r="E19"/>
  <c r="X18"/>
  <c r="T18"/>
  <c r="P18"/>
  <c r="L18"/>
  <c r="H18"/>
  <c r="D18"/>
  <c r="W17"/>
  <c r="S17"/>
  <c r="O17"/>
  <c r="K17"/>
  <c r="G17"/>
  <c r="C17"/>
  <c r="V16"/>
  <c r="R16"/>
  <c r="N16"/>
  <c r="J16"/>
  <c r="F16"/>
  <c r="Y15"/>
  <c r="U15"/>
  <c r="Q15"/>
  <c r="M15"/>
  <c r="I15"/>
  <c r="E15"/>
  <c r="X14"/>
  <c r="T14"/>
  <c r="P14"/>
  <c r="L14"/>
  <c r="H14"/>
  <c r="D14"/>
  <c r="W13"/>
  <c r="S13"/>
  <c r="O13"/>
  <c r="K13"/>
  <c r="G13"/>
  <c r="C13"/>
  <c r="V12"/>
  <c r="R12"/>
  <c r="N12"/>
  <c r="J12"/>
  <c r="F12"/>
  <c r="Y11"/>
  <c r="U11"/>
  <c r="Q11"/>
  <c r="M11"/>
  <c r="I11"/>
  <c r="E11"/>
  <c r="X10"/>
  <c r="T10"/>
  <c r="P10"/>
  <c r="L10"/>
  <c r="G60"/>
  <c r="V59"/>
  <c r="N59"/>
  <c r="F59"/>
  <c r="U58"/>
  <c r="M58"/>
  <c r="E58"/>
  <c r="T57"/>
  <c r="L57"/>
  <c r="D57"/>
  <c r="S56"/>
  <c r="K56"/>
  <c r="C56"/>
  <c r="R55"/>
  <c r="J55"/>
  <c r="Y54"/>
  <c r="Q54"/>
  <c r="I54"/>
  <c r="X53"/>
  <c r="P53"/>
  <c r="H53"/>
  <c r="W52"/>
  <c r="O52"/>
  <c r="G52"/>
  <c r="V51"/>
  <c r="N51"/>
  <c r="F51"/>
  <c r="U50"/>
  <c r="M50"/>
  <c r="E50"/>
  <c r="T49"/>
  <c r="L49"/>
  <c r="H49"/>
  <c r="D49"/>
  <c r="W48"/>
  <c r="S48"/>
  <c r="O48"/>
  <c r="K48"/>
  <c r="G48"/>
  <c r="C48"/>
  <c r="V47"/>
  <c r="R47"/>
  <c r="N47"/>
  <c r="J47"/>
  <c r="F47"/>
  <c r="Y46"/>
  <c r="U46"/>
  <c r="Q46"/>
  <c r="M46"/>
  <c r="I46"/>
  <c r="E46"/>
  <c r="X45"/>
  <c r="T45"/>
  <c r="P45"/>
  <c r="L45"/>
  <c r="H45"/>
  <c r="D45"/>
  <c r="W44"/>
  <c r="S44"/>
  <c r="O44"/>
  <c r="K44"/>
  <c r="G44"/>
  <c r="C44"/>
  <c r="V43"/>
  <c r="R43"/>
  <c r="N43"/>
  <c r="J43"/>
  <c r="F43"/>
  <c r="Y42"/>
  <c r="U42"/>
  <c r="Q42"/>
  <c r="M42"/>
  <c r="I42"/>
  <c r="E42"/>
  <c r="X41"/>
  <c r="T41"/>
  <c r="P41"/>
  <c r="L41"/>
  <c r="H41"/>
  <c r="D41"/>
  <c r="W40"/>
  <c r="S40"/>
  <c r="O40"/>
  <c r="K40"/>
  <c r="G40"/>
  <c r="C40"/>
  <c r="V39"/>
  <c r="R39"/>
  <c r="N39"/>
  <c r="J39"/>
  <c r="F39"/>
  <c r="Y38"/>
  <c r="U38"/>
  <c r="Q38"/>
  <c r="M38"/>
  <c r="I38"/>
  <c r="E38"/>
  <c r="X37"/>
  <c r="T37"/>
  <c r="P37"/>
  <c r="L37"/>
  <c r="H37"/>
  <c r="D37"/>
  <c r="W36"/>
  <c r="S36"/>
  <c r="O36"/>
  <c r="K36"/>
  <c r="G36"/>
  <c r="C36"/>
  <c r="V35"/>
  <c r="R35"/>
  <c r="N35"/>
  <c r="J35"/>
  <c r="F35"/>
  <c r="Y34"/>
  <c r="U34"/>
  <c r="Q34"/>
  <c r="M34"/>
  <c r="I34"/>
  <c r="E34"/>
  <c r="X33"/>
  <c r="T33"/>
  <c r="P33"/>
  <c r="L33"/>
  <c r="H33"/>
  <c r="D33"/>
  <c r="W32"/>
  <c r="S32"/>
  <c r="O32"/>
  <c r="K32"/>
  <c r="G32"/>
  <c r="C32"/>
  <c r="V31"/>
  <c r="R31"/>
  <c r="N31"/>
  <c r="J31"/>
  <c r="F31"/>
  <c r="Y30"/>
  <c r="U30"/>
  <c r="Q30"/>
  <c r="M30"/>
  <c r="I30"/>
  <c r="E30"/>
  <c r="X29"/>
  <c r="T29"/>
  <c r="P29"/>
  <c r="L29"/>
  <c r="H29"/>
  <c r="D29"/>
  <c r="W28"/>
  <c r="S28"/>
  <c r="O28"/>
  <c r="K28"/>
  <c r="G28"/>
  <c r="C28"/>
  <c r="V27"/>
  <c r="R27"/>
  <c r="N27"/>
  <c r="J27"/>
  <c r="F27"/>
  <c r="Y26"/>
  <c r="U26"/>
  <c r="Q26"/>
  <c r="M26"/>
  <c r="I26"/>
  <c r="E26"/>
  <c r="X25"/>
  <c r="T25"/>
  <c r="P25"/>
  <c r="L25"/>
  <c r="H25"/>
  <c r="D25"/>
  <c r="W24"/>
  <c r="S24"/>
  <c r="O24"/>
  <c r="K24"/>
  <c r="G24"/>
  <c r="C24"/>
  <c r="V23"/>
  <c r="R23"/>
  <c r="N23"/>
  <c r="J23"/>
  <c r="F23"/>
  <c r="Y22"/>
  <c r="U22"/>
  <c r="Q22"/>
  <c r="M22"/>
  <c r="I22"/>
  <c r="E22"/>
  <c r="X21"/>
  <c r="T21"/>
  <c r="P21"/>
  <c r="L21"/>
  <c r="H21"/>
  <c r="D21"/>
  <c r="W20"/>
  <c r="S20"/>
  <c r="O20"/>
  <c r="K20"/>
  <c r="G20"/>
  <c r="C20"/>
  <c r="V19"/>
  <c r="R19"/>
  <c r="N19"/>
  <c r="J19"/>
  <c r="F19"/>
  <c r="Y18"/>
  <c r="U18"/>
  <c r="Q18"/>
  <c r="M18"/>
  <c r="I18"/>
  <c r="E18"/>
  <c r="X17"/>
  <c r="T17"/>
  <c r="P17"/>
  <c r="L17"/>
  <c r="H17"/>
  <c r="D17"/>
  <c r="W16"/>
  <c r="S16"/>
  <c r="O16"/>
  <c r="K16"/>
  <c r="G16"/>
  <c r="C16"/>
  <c r="V15"/>
  <c r="R15"/>
  <c r="N15"/>
  <c r="J15"/>
  <c r="F15"/>
  <c r="Y14"/>
  <c r="U14"/>
  <c r="Q14"/>
  <c r="M14"/>
  <c r="I14"/>
  <c r="E14"/>
  <c r="X13"/>
  <c r="T13"/>
  <c r="P13"/>
  <c r="L13"/>
  <c r="H13"/>
  <c r="D13"/>
  <c r="W12"/>
  <c r="S12"/>
  <c r="O12"/>
  <c r="K12"/>
  <c r="G12"/>
  <c r="C12"/>
  <c r="V11"/>
  <c r="R11"/>
  <c r="N11"/>
  <c r="H60"/>
  <c r="W59"/>
  <c r="O59"/>
  <c r="G59"/>
  <c r="V58"/>
  <c r="N58"/>
  <c r="F58"/>
  <c r="U57"/>
  <c r="M57"/>
  <c r="E57"/>
  <c r="T56"/>
  <c r="L56"/>
  <c r="D56"/>
  <c r="S55"/>
  <c r="K55"/>
  <c r="C55"/>
  <c r="R54"/>
  <c r="J54"/>
  <c r="Y53"/>
  <c r="Q53"/>
  <c r="I53"/>
  <c r="X52"/>
  <c r="P52"/>
  <c r="H52"/>
  <c r="W51"/>
  <c r="O51"/>
  <c r="G51"/>
  <c r="V50"/>
  <c r="N50"/>
  <c r="F50"/>
  <c r="U49"/>
  <c r="M49"/>
  <c r="I49"/>
  <c r="E49"/>
  <c r="X48"/>
  <c r="T48"/>
  <c r="P48"/>
  <c r="L48"/>
  <c r="H48"/>
  <c r="D48"/>
  <c r="W47"/>
  <c r="S47"/>
  <c r="O47"/>
  <c r="K47"/>
  <c r="G47"/>
  <c r="C47"/>
  <c r="V46"/>
  <c r="R46"/>
  <c r="N46"/>
  <c r="J46"/>
  <c r="F46"/>
  <c r="Y45"/>
  <c r="U45"/>
  <c r="Q45"/>
  <c r="M45"/>
  <c r="I45"/>
  <c r="E45"/>
  <c r="X44"/>
  <c r="T44"/>
  <c r="P44"/>
  <c r="L44"/>
  <c r="H44"/>
  <c r="D44"/>
  <c r="W43"/>
  <c r="S43"/>
  <c r="O43"/>
  <c r="K43"/>
  <c r="G43"/>
  <c r="C43"/>
  <c r="V42"/>
  <c r="R42"/>
  <c r="N42"/>
  <c r="J42"/>
  <c r="F42"/>
  <c r="Y41"/>
  <c r="U41"/>
  <c r="Q41"/>
  <c r="M41"/>
  <c r="I41"/>
  <c r="E41"/>
  <c r="X40"/>
  <c r="T40"/>
  <c r="P40"/>
  <c r="L40"/>
  <c r="H40"/>
  <c r="D40"/>
  <c r="W39"/>
  <c r="S39"/>
  <c r="O39"/>
  <c r="K39"/>
  <c r="G39"/>
  <c r="C39"/>
  <c r="V38"/>
  <c r="R38"/>
  <c r="N38"/>
  <c r="J38"/>
  <c r="F38"/>
  <c r="Y37"/>
  <c r="U37"/>
  <c r="Q37"/>
  <c r="M37"/>
  <c r="I37"/>
  <c r="E37"/>
  <c r="X36"/>
  <c r="T36"/>
  <c r="P36"/>
  <c r="L36"/>
  <c r="H36"/>
  <c r="D36"/>
  <c r="W35"/>
  <c r="S35"/>
  <c r="O35"/>
  <c r="K35"/>
  <c r="G35"/>
  <c r="C35"/>
  <c r="V34"/>
  <c r="R34"/>
  <c r="N34"/>
  <c r="J34"/>
  <c r="F34"/>
  <c r="Y33"/>
  <c r="U33"/>
  <c r="Q33"/>
  <c r="M33"/>
  <c r="I33"/>
  <c r="E33"/>
  <c r="X32"/>
  <c r="T32"/>
  <c r="P32"/>
  <c r="L32"/>
  <c r="H32"/>
  <c r="D32"/>
  <c r="W31"/>
  <c r="S31"/>
  <c r="O31"/>
  <c r="K31"/>
  <c r="G31"/>
  <c r="C31"/>
  <c r="V30"/>
  <c r="R30"/>
  <c r="N30"/>
  <c r="J30"/>
  <c r="F30"/>
  <c r="Y29"/>
  <c r="U29"/>
  <c r="Q29"/>
  <c r="M29"/>
  <c r="I29"/>
  <c r="E29"/>
  <c r="X28"/>
  <c r="T28"/>
  <c r="P28"/>
  <c r="L28"/>
  <c r="H28"/>
  <c r="D28"/>
  <c r="W27"/>
  <c r="S27"/>
  <c r="O27"/>
  <c r="K27"/>
  <c r="G27"/>
  <c r="C27"/>
  <c r="V26"/>
  <c r="R26"/>
  <c r="N26"/>
  <c r="J26"/>
  <c r="F26"/>
  <c r="Y25"/>
  <c r="U25"/>
  <c r="Q25"/>
  <c r="M25"/>
  <c r="I25"/>
  <c r="E25"/>
  <c r="X24"/>
  <c r="T24"/>
  <c r="P24"/>
  <c r="L24"/>
  <c r="H24"/>
  <c r="D24"/>
  <c r="W23"/>
  <c r="S23"/>
  <c r="O23"/>
  <c r="K23"/>
  <c r="G23"/>
  <c r="C23"/>
  <c r="V22"/>
  <c r="R22"/>
  <c r="N22"/>
  <c r="J22"/>
  <c r="F22"/>
  <c r="Y21"/>
  <c r="U21"/>
  <c r="Q21"/>
  <c r="M21"/>
  <c r="I21"/>
  <c r="E21"/>
  <c r="X20"/>
  <c r="T20"/>
  <c r="P20"/>
  <c r="L20"/>
  <c r="H20"/>
  <c r="D20"/>
  <c r="W19"/>
  <c r="S19"/>
  <c r="O19"/>
  <c r="K19"/>
  <c r="G19"/>
  <c r="C19"/>
  <c r="V18"/>
  <c r="R18"/>
  <c r="N18"/>
  <c r="J18"/>
  <c r="F18"/>
  <c r="Y17"/>
  <c r="U17"/>
  <c r="Q17"/>
  <c r="M17"/>
  <c r="I17"/>
  <c r="E17"/>
  <c r="X16"/>
  <c r="T16"/>
  <c r="P16"/>
  <c r="L16"/>
  <c r="H16"/>
  <c r="D16"/>
  <c r="W15"/>
  <c r="S15"/>
  <c r="O15"/>
  <c r="K15"/>
  <c r="G15"/>
  <c r="C15"/>
  <c r="V14"/>
  <c r="R14"/>
  <c r="N14"/>
  <c r="J14"/>
  <c r="F14"/>
  <c r="Y13"/>
  <c r="U13"/>
  <c r="Q13"/>
  <c r="M13"/>
  <c r="I13"/>
  <c r="E13"/>
  <c r="X12"/>
  <c r="T12"/>
  <c r="P12"/>
  <c r="L12"/>
  <c r="H12"/>
  <c r="D12"/>
  <c r="W11"/>
  <c r="S11"/>
  <c r="O11"/>
  <c r="K11"/>
  <c r="G11"/>
  <c r="C11"/>
  <c r="V10"/>
  <c r="R10"/>
  <c r="N10"/>
  <c r="J10"/>
  <c r="F11"/>
  <c r="U10"/>
  <c r="M10"/>
  <c r="G10"/>
  <c r="C10"/>
  <c r="V9"/>
  <c r="R9"/>
  <c r="N9"/>
  <c r="J9"/>
  <c r="F9"/>
  <c r="Y8"/>
  <c r="U8"/>
  <c r="Q8"/>
  <c r="M8"/>
  <c r="I8"/>
  <c r="E8"/>
  <c r="X7"/>
  <c r="T7"/>
  <c r="P7"/>
  <c r="L7"/>
  <c r="H7"/>
  <c r="D7"/>
  <c r="I31" i="34"/>
  <c r="E31"/>
  <c r="H30"/>
  <c r="D30"/>
  <c r="G29"/>
  <c r="C29"/>
  <c r="F28"/>
  <c r="I27"/>
  <c r="E27"/>
  <c r="H26"/>
  <c r="D26"/>
  <c r="G25"/>
  <c r="C25"/>
  <c r="F24"/>
  <c r="I23"/>
  <c r="E23"/>
  <c r="H22"/>
  <c r="D22"/>
  <c r="G21"/>
  <c r="C21"/>
  <c r="F20"/>
  <c r="I19"/>
  <c r="E19"/>
  <c r="H18"/>
  <c r="D18"/>
  <c r="G17"/>
  <c r="C17"/>
  <c r="F16"/>
  <c r="I15"/>
  <c r="E15"/>
  <c r="H14"/>
  <c r="D14"/>
  <c r="G13"/>
  <c r="C13"/>
  <c r="F12"/>
  <c r="I11"/>
  <c r="E11"/>
  <c r="H10"/>
  <c r="D10"/>
  <c r="G9"/>
  <c r="C9"/>
  <c r="G30" i="33"/>
  <c r="C30"/>
  <c r="F29"/>
  <c r="I28"/>
  <c r="E28"/>
  <c r="H27"/>
  <c r="D27"/>
  <c r="G26"/>
  <c r="C26"/>
  <c r="F25"/>
  <c r="I24"/>
  <c r="E24"/>
  <c r="H23"/>
  <c r="D23"/>
  <c r="G22"/>
  <c r="C22"/>
  <c r="F21"/>
  <c r="I20"/>
  <c r="E20"/>
  <c r="H19"/>
  <c r="D19"/>
  <c r="G18"/>
  <c r="C18"/>
  <c r="F17"/>
  <c r="I16"/>
  <c r="E16"/>
  <c r="H15"/>
  <c r="D15"/>
  <c r="G14"/>
  <c r="C14"/>
  <c r="F13"/>
  <c r="I12"/>
  <c r="E12"/>
  <c r="H11"/>
  <c r="D11"/>
  <c r="G10"/>
  <c r="C10"/>
  <c r="F9"/>
  <c r="I8"/>
  <c r="E8"/>
  <c r="I33" i="32"/>
  <c r="E33"/>
  <c r="G31"/>
  <c r="C31"/>
  <c r="F30"/>
  <c r="I29"/>
  <c r="E29"/>
  <c r="H28"/>
  <c r="D28"/>
  <c r="G27"/>
  <c r="C27"/>
  <c r="F26"/>
  <c r="I25"/>
  <c r="E25"/>
  <c r="H24"/>
  <c r="D24"/>
  <c r="G23"/>
  <c r="C23"/>
  <c r="F22"/>
  <c r="I21"/>
  <c r="E21"/>
  <c r="H20"/>
  <c r="D20"/>
  <c r="F18"/>
  <c r="I17"/>
  <c r="E17"/>
  <c r="H16"/>
  <c r="D16"/>
  <c r="G15"/>
  <c r="C15"/>
  <c r="F14"/>
  <c r="I13"/>
  <c r="E13"/>
  <c r="H12"/>
  <c r="D12"/>
  <c r="G11"/>
  <c r="C11"/>
  <c r="E28" i="28"/>
  <c r="E26"/>
  <c r="E25"/>
  <c r="E24"/>
  <c r="E23"/>
  <c r="E22"/>
  <c r="E21"/>
  <c r="E20"/>
  <c r="E19"/>
  <c r="E18"/>
  <c r="E17"/>
  <c r="E16"/>
  <c r="E15"/>
  <c r="E13"/>
  <c r="E12"/>
  <c r="E11"/>
  <c r="E10"/>
  <c r="E9"/>
  <c r="E8"/>
  <c r="E7"/>
  <c r="E6"/>
  <c r="H11" i="36"/>
  <c r="W10"/>
  <c r="O10"/>
  <c r="H10"/>
  <c r="D10"/>
  <c r="W9"/>
  <c r="S9"/>
  <c r="O9"/>
  <c r="K9"/>
  <c r="G9"/>
  <c r="C9"/>
  <c r="V8"/>
  <c r="R8"/>
  <c r="N8"/>
  <c r="J8"/>
  <c r="F8"/>
  <c r="Y7"/>
  <c r="U7"/>
  <c r="Q7"/>
  <c r="M7"/>
  <c r="I7"/>
  <c r="E7"/>
  <c r="F31" i="34"/>
  <c r="I30"/>
  <c r="E30"/>
  <c r="H29"/>
  <c r="D29"/>
  <c r="G28"/>
  <c r="C28"/>
  <c r="F27"/>
  <c r="I26"/>
  <c r="E26"/>
  <c r="H25"/>
  <c r="D25"/>
  <c r="G24"/>
  <c r="C24"/>
  <c r="F23"/>
  <c r="I22"/>
  <c r="E22"/>
  <c r="H21"/>
  <c r="D21"/>
  <c r="G20"/>
  <c r="C20"/>
  <c r="F19"/>
  <c r="I18"/>
  <c r="E18"/>
  <c r="H17"/>
  <c r="D17"/>
  <c r="G16"/>
  <c r="C16"/>
  <c r="F15"/>
  <c r="I14"/>
  <c r="E14"/>
  <c r="H13"/>
  <c r="D13"/>
  <c r="G12"/>
  <c r="C12"/>
  <c r="F11"/>
  <c r="I10"/>
  <c r="E10"/>
  <c r="H9"/>
  <c r="D9"/>
  <c r="H30" i="33"/>
  <c r="D30"/>
  <c r="G29"/>
  <c r="C29"/>
  <c r="F28"/>
  <c r="I27"/>
  <c r="E27"/>
  <c r="H26"/>
  <c r="D26"/>
  <c r="G25"/>
  <c r="C25"/>
  <c r="F24"/>
  <c r="I23"/>
  <c r="E23"/>
  <c r="H22"/>
  <c r="D22"/>
  <c r="G21"/>
  <c r="C21"/>
  <c r="F20"/>
  <c r="I19"/>
  <c r="E19"/>
  <c r="H18"/>
  <c r="D18"/>
  <c r="G17"/>
  <c r="C17"/>
  <c r="F16"/>
  <c r="I15"/>
  <c r="E15"/>
  <c r="H14"/>
  <c r="D14"/>
  <c r="G13"/>
  <c r="C13"/>
  <c r="F12"/>
  <c r="I11"/>
  <c r="E11"/>
  <c r="H10"/>
  <c r="D10"/>
  <c r="G9"/>
  <c r="C9"/>
  <c r="F8"/>
  <c r="F33" i="32"/>
  <c r="H31"/>
  <c r="D31"/>
  <c r="G30"/>
  <c r="C30"/>
  <c r="F29"/>
  <c r="I28"/>
  <c r="E28"/>
  <c r="H27"/>
  <c r="D27"/>
  <c r="G26"/>
  <c r="C26"/>
  <c r="F25"/>
  <c r="I24"/>
  <c r="E24"/>
  <c r="H23"/>
  <c r="D23"/>
  <c r="G22"/>
  <c r="C22"/>
  <c r="F21"/>
  <c r="I20"/>
  <c r="E20"/>
  <c r="G18"/>
  <c r="C18"/>
  <c r="F17"/>
  <c r="I16"/>
  <c r="E16"/>
  <c r="H15"/>
  <c r="D15"/>
  <c r="G14"/>
  <c r="C14"/>
  <c r="F13"/>
  <c r="I12"/>
  <c r="E12"/>
  <c r="H11"/>
  <c r="D11"/>
  <c r="AO71" i="27"/>
  <c r="AK71"/>
  <c r="AG71"/>
  <c r="AC71"/>
  <c r="Y71"/>
  <c r="U71"/>
  <c r="Q71"/>
  <c r="M71"/>
  <c r="I71"/>
  <c r="E71"/>
  <c r="AU70"/>
  <c r="AQ70"/>
  <c r="AM70"/>
  <c r="AI70"/>
  <c r="AE70"/>
  <c r="AA70"/>
  <c r="W70"/>
  <c r="O70"/>
  <c r="K70"/>
  <c r="G70"/>
  <c r="C70"/>
  <c r="AO69"/>
  <c r="AK69"/>
  <c r="AG69"/>
  <c r="AC69"/>
  <c r="Y69"/>
  <c r="U69"/>
  <c r="Q69"/>
  <c r="M69"/>
  <c r="I69"/>
  <c r="E69"/>
  <c r="AU68"/>
  <c r="AQ68"/>
  <c r="AM68"/>
  <c r="AI68"/>
  <c r="AE68"/>
  <c r="AA68"/>
  <c r="W68"/>
  <c r="O68"/>
  <c r="K68"/>
  <c r="G68"/>
  <c r="C68"/>
  <c r="AO67"/>
  <c r="AK67"/>
  <c r="AG67"/>
  <c r="AC67"/>
  <c r="Y67"/>
  <c r="U67"/>
  <c r="Q67"/>
  <c r="M67"/>
  <c r="I67"/>
  <c r="E67"/>
  <c r="AU66"/>
  <c r="AQ66"/>
  <c r="AM66"/>
  <c r="AI66"/>
  <c r="AE66"/>
  <c r="AA66"/>
  <c r="W66"/>
  <c r="O66"/>
  <c r="K66"/>
  <c r="G66"/>
  <c r="C66"/>
  <c r="AO65"/>
  <c r="AK65"/>
  <c r="AG65"/>
  <c r="AC65"/>
  <c r="Y65"/>
  <c r="U65"/>
  <c r="Q65"/>
  <c r="M65"/>
  <c r="I65"/>
  <c r="E65"/>
  <c r="AU64"/>
  <c r="AQ64"/>
  <c r="AM64"/>
  <c r="AI64"/>
  <c r="AE64"/>
  <c r="AA64"/>
  <c r="W64"/>
  <c r="O64"/>
  <c r="K64"/>
  <c r="G64"/>
  <c r="C64"/>
  <c r="AO63"/>
  <c r="AK63"/>
  <c r="AG63"/>
  <c r="AC63"/>
  <c r="Y63"/>
  <c r="U63"/>
  <c r="Q63"/>
  <c r="M63"/>
  <c r="I63"/>
  <c r="E63"/>
  <c r="AU62"/>
  <c r="AQ62"/>
  <c r="AM62"/>
  <c r="AI62"/>
  <c r="AE62"/>
  <c r="AA62"/>
  <c r="W62"/>
  <c r="O62"/>
  <c r="K62"/>
  <c r="G62"/>
  <c r="C62"/>
  <c r="AO61"/>
  <c r="AK61"/>
  <c r="AG61"/>
  <c r="AC61"/>
  <c r="Y61"/>
  <c r="U61"/>
  <c r="Q61"/>
  <c r="M61"/>
  <c r="I61"/>
  <c r="E61"/>
  <c r="AU60"/>
  <c r="AQ60"/>
  <c r="AM60"/>
  <c r="AI60"/>
  <c r="AE60"/>
  <c r="AA60"/>
  <c r="W60"/>
  <c r="O60"/>
  <c r="K60"/>
  <c r="G60"/>
  <c r="C60"/>
  <c r="AO59"/>
  <c r="AK59"/>
  <c r="AG59"/>
  <c r="AC59"/>
  <c r="Y59"/>
  <c r="U59"/>
  <c r="Q59"/>
  <c r="M59"/>
  <c r="I59"/>
  <c r="E59"/>
  <c r="AU58"/>
  <c r="AQ58"/>
  <c r="AM58"/>
  <c r="AI58"/>
  <c r="AE58"/>
  <c r="AA58"/>
  <c r="W58"/>
  <c r="O58"/>
  <c r="K58"/>
  <c r="G58"/>
  <c r="C58"/>
  <c r="AO57"/>
  <c r="AK57"/>
  <c r="AG57"/>
  <c r="AC57"/>
  <c r="Y57"/>
  <c r="J11" i="36"/>
  <c r="Y10"/>
  <c r="Q10"/>
  <c r="I10"/>
  <c r="E10"/>
  <c r="X9"/>
  <c r="T9"/>
  <c r="P9"/>
  <c r="L9"/>
  <c r="H9"/>
  <c r="D9"/>
  <c r="W8"/>
  <c r="S8"/>
  <c r="O8"/>
  <c r="K8"/>
  <c r="G8"/>
  <c r="C8"/>
  <c r="V7"/>
  <c r="R7"/>
  <c r="N7"/>
  <c r="J7"/>
  <c r="F7"/>
  <c r="G31" i="34"/>
  <c r="C31"/>
  <c r="F30"/>
  <c r="I29"/>
  <c r="E29"/>
  <c r="H28"/>
  <c r="D28"/>
  <c r="G27"/>
  <c r="C27"/>
  <c r="F26"/>
  <c r="I25"/>
  <c r="E25"/>
  <c r="H24"/>
  <c r="D24"/>
  <c r="G23"/>
  <c r="C23"/>
  <c r="F22"/>
  <c r="I21"/>
  <c r="E21"/>
  <c r="H20"/>
  <c r="D20"/>
  <c r="G19"/>
  <c r="C19"/>
  <c r="F18"/>
  <c r="I17"/>
  <c r="E17"/>
  <c r="H16"/>
  <c r="D16"/>
  <c r="G15"/>
  <c r="C15"/>
  <c r="F14"/>
  <c r="I13"/>
  <c r="E13"/>
  <c r="H12"/>
  <c r="D12"/>
  <c r="G11"/>
  <c r="C11"/>
  <c r="F10"/>
  <c r="I9"/>
  <c r="E9"/>
  <c r="I30" i="33"/>
  <c r="E30"/>
  <c r="H29"/>
  <c r="D29"/>
  <c r="G28"/>
  <c r="C28"/>
  <c r="F27"/>
  <c r="I26"/>
  <c r="E26"/>
  <c r="H25"/>
  <c r="D25"/>
  <c r="G24"/>
  <c r="C24"/>
  <c r="F23"/>
  <c r="I22"/>
  <c r="E22"/>
  <c r="H21"/>
  <c r="D21"/>
  <c r="G20"/>
  <c r="C20"/>
  <c r="F19"/>
  <c r="I18"/>
  <c r="E18"/>
  <c r="H17"/>
  <c r="D17"/>
  <c r="G16"/>
  <c r="C16"/>
  <c r="F15"/>
  <c r="I14"/>
  <c r="E14"/>
  <c r="H13"/>
  <c r="D13"/>
  <c r="G12"/>
  <c r="C12"/>
  <c r="F11"/>
  <c r="I10"/>
  <c r="E10"/>
  <c r="H9"/>
  <c r="D9"/>
  <c r="G8"/>
  <c r="C8"/>
  <c r="G33" i="32"/>
  <c r="C33"/>
  <c r="I31"/>
  <c r="E31"/>
  <c r="H30"/>
  <c r="D30"/>
  <c r="G29"/>
  <c r="C29"/>
  <c r="F28"/>
  <c r="I27"/>
  <c r="E27"/>
  <c r="H26"/>
  <c r="D26"/>
  <c r="G25"/>
  <c r="C25"/>
  <c r="F24"/>
  <c r="I23"/>
  <c r="E23"/>
  <c r="H22"/>
  <c r="D22"/>
  <c r="G21"/>
  <c r="C21"/>
  <c r="F20"/>
  <c r="H18"/>
  <c r="D18"/>
  <c r="G17"/>
  <c r="C17"/>
  <c r="F16"/>
  <c r="I15"/>
  <c r="E15"/>
  <c r="H14"/>
  <c r="D14"/>
  <c r="G13"/>
  <c r="C13"/>
  <c r="F12"/>
  <c r="I11"/>
  <c r="E11"/>
  <c r="L11" i="36"/>
  <c r="D11"/>
  <c r="S10"/>
  <c r="K10"/>
  <c r="F10"/>
  <c r="Y9"/>
  <c r="U9"/>
  <c r="Q9"/>
  <c r="M9"/>
  <c r="I9"/>
  <c r="E9"/>
  <c r="X8"/>
  <c r="T8"/>
  <c r="P8"/>
  <c r="L8"/>
  <c r="H8"/>
  <c r="D8"/>
  <c r="W7"/>
  <c r="S7"/>
  <c r="O7"/>
  <c r="K7"/>
  <c r="G7"/>
  <c r="C7"/>
  <c r="H31" i="34"/>
  <c r="D31"/>
  <c r="G30"/>
  <c r="C30"/>
  <c r="F29"/>
  <c r="I28"/>
  <c r="E28"/>
  <c r="H27"/>
  <c r="D27"/>
  <c r="G26"/>
  <c r="C26"/>
  <c r="F25"/>
  <c r="I24"/>
  <c r="E24"/>
  <c r="H23"/>
  <c r="D23"/>
  <c r="G22"/>
  <c r="C22"/>
  <c r="F21"/>
  <c r="I20"/>
  <c r="E20"/>
  <c r="H19"/>
  <c r="D19"/>
  <c r="G18"/>
  <c r="C18"/>
  <c r="F17"/>
  <c r="I16"/>
  <c r="E16"/>
  <c r="H15"/>
  <c r="D15"/>
  <c r="G14"/>
  <c r="C14"/>
  <c r="F13"/>
  <c r="I12"/>
  <c r="E12"/>
  <c r="H11"/>
  <c r="D11"/>
  <c r="G10"/>
  <c r="C10"/>
  <c r="F9"/>
  <c r="F30" i="33"/>
  <c r="I29"/>
  <c r="E29"/>
  <c r="H28"/>
  <c r="D28"/>
  <c r="G27"/>
  <c r="C27"/>
  <c r="F26"/>
  <c r="I25"/>
  <c r="E25"/>
  <c r="H24"/>
  <c r="D24"/>
  <c r="G23"/>
  <c r="C23"/>
  <c r="F22"/>
  <c r="I21"/>
  <c r="E21"/>
  <c r="H20"/>
  <c r="D20"/>
  <c r="G19"/>
  <c r="C19"/>
  <c r="F18"/>
  <c r="I17"/>
  <c r="E17"/>
  <c r="H16"/>
  <c r="D16"/>
  <c r="G15"/>
  <c r="C15"/>
  <c r="F14"/>
  <c r="I13"/>
  <c r="E13"/>
  <c r="H12"/>
  <c r="D12"/>
  <c r="G11"/>
  <c r="C11"/>
  <c r="F10"/>
  <c r="I9"/>
  <c r="E9"/>
  <c r="H8"/>
  <c r="D8"/>
  <c r="H33" i="32"/>
  <c r="D33"/>
  <c r="F31"/>
  <c r="I30"/>
  <c r="E30"/>
  <c r="H29"/>
  <c r="D29"/>
  <c r="G28"/>
  <c r="C28"/>
  <c r="F27"/>
  <c r="I26"/>
  <c r="E26"/>
  <c r="H25"/>
  <c r="D25"/>
  <c r="G24"/>
  <c r="C24"/>
  <c r="F23"/>
  <c r="I22"/>
  <c r="E22"/>
  <c r="H21"/>
  <c r="D21"/>
  <c r="G20"/>
  <c r="C20"/>
  <c r="I18"/>
  <c r="E18"/>
  <c r="H17"/>
  <c r="D17"/>
  <c r="G16"/>
  <c r="C16"/>
  <c r="F15"/>
  <c r="I14"/>
  <c r="E14"/>
  <c r="H13"/>
  <c r="D13"/>
  <c r="G12"/>
  <c r="C12"/>
  <c r="F11"/>
  <c r="D28" i="28"/>
  <c r="D26"/>
  <c r="D25"/>
  <c r="D24"/>
  <c r="D23"/>
  <c r="D22"/>
  <c r="D21"/>
  <c r="D20"/>
  <c r="D19"/>
  <c r="D18"/>
  <c r="D17"/>
  <c r="D16"/>
  <c r="D15"/>
  <c r="D13"/>
  <c r="D12"/>
  <c r="D11"/>
  <c r="D10"/>
  <c r="D9"/>
  <c r="D8"/>
  <c r="D7"/>
  <c r="D6"/>
  <c r="AU71" i="27"/>
  <c r="AQ71"/>
  <c r="AM71"/>
  <c r="AI71"/>
  <c r="AE71"/>
  <c r="AA71"/>
  <c r="W71"/>
  <c r="O71"/>
  <c r="K71"/>
  <c r="G71"/>
  <c r="C71"/>
  <c r="AO70"/>
  <c r="AK70"/>
  <c r="AG70"/>
  <c r="AC70"/>
  <c r="Y70"/>
  <c r="U70"/>
  <c r="Q70"/>
  <c r="M70"/>
  <c r="I70"/>
  <c r="E70"/>
  <c r="AU69"/>
  <c r="AQ69"/>
  <c r="AM69"/>
  <c r="AI69"/>
  <c r="AE69"/>
  <c r="AA69"/>
  <c r="W69"/>
  <c r="O69"/>
  <c r="K69"/>
  <c r="G69"/>
  <c r="C69"/>
  <c r="AO68"/>
  <c r="AK68"/>
  <c r="AG68"/>
  <c r="AC68"/>
  <c r="Y68"/>
  <c r="U68"/>
  <c r="Q68"/>
  <c r="M68"/>
  <c r="I68"/>
  <c r="E68"/>
  <c r="AU67"/>
  <c r="AQ67"/>
  <c r="AM67"/>
  <c r="AI67"/>
  <c r="AE67"/>
  <c r="AA67"/>
  <c r="W67"/>
  <c r="O67"/>
  <c r="K67"/>
  <c r="G67"/>
  <c r="C67"/>
  <c r="AO66"/>
  <c r="AK66"/>
  <c r="AG66"/>
  <c r="AC66"/>
  <c r="Y66"/>
  <c r="U66"/>
  <c r="Q66"/>
  <c r="M66"/>
  <c r="I66"/>
  <c r="E66"/>
  <c r="AU65"/>
  <c r="AQ65"/>
  <c r="AM65"/>
  <c r="AI65"/>
  <c r="AE65"/>
  <c r="AA65"/>
  <c r="W65"/>
  <c r="O65"/>
  <c r="K65"/>
  <c r="G65"/>
  <c r="C65"/>
  <c r="AO64"/>
  <c r="AK64"/>
  <c r="AG64"/>
  <c r="AC64"/>
  <c r="Y64"/>
  <c r="U64"/>
  <c r="Q64"/>
  <c r="M64"/>
  <c r="I64"/>
  <c r="E64"/>
  <c r="AU63"/>
  <c r="AQ63"/>
  <c r="AM63"/>
  <c r="AI63"/>
  <c r="AE63"/>
  <c r="AA63"/>
  <c r="W63"/>
  <c r="O63"/>
  <c r="K63"/>
  <c r="G63"/>
  <c r="C63"/>
  <c r="AO62"/>
  <c r="AK62"/>
  <c r="AG62"/>
  <c r="AC62"/>
  <c r="Y62"/>
  <c r="U62"/>
  <c r="Q62"/>
  <c r="M62"/>
  <c r="I62"/>
  <c r="E62"/>
  <c r="AU61"/>
  <c r="AQ61"/>
  <c r="AM61"/>
  <c r="AI61"/>
  <c r="AE61"/>
  <c r="AA61"/>
  <c r="W61"/>
  <c r="O61"/>
  <c r="K61"/>
  <c r="G61"/>
  <c r="C61"/>
  <c r="AO60"/>
  <c r="AK60"/>
  <c r="AG60"/>
  <c r="AC60"/>
  <c r="Y60"/>
  <c r="U60"/>
  <c r="Q60"/>
  <c r="M60"/>
  <c r="I60"/>
  <c r="E60"/>
  <c r="AU59"/>
  <c r="AQ59"/>
  <c r="AM59"/>
  <c r="AI59"/>
  <c r="AE59"/>
  <c r="AA59"/>
  <c r="W59"/>
  <c r="O59"/>
  <c r="K59"/>
  <c r="G59"/>
  <c r="C59"/>
  <c r="AO58"/>
  <c r="AK58"/>
  <c r="AG58"/>
  <c r="AC58"/>
  <c r="Y58"/>
  <c r="U58"/>
  <c r="Q58"/>
  <c r="M58"/>
  <c r="I58"/>
  <c r="E58"/>
  <c r="AU57"/>
  <c r="AQ57"/>
  <c r="AM57"/>
  <c r="AI57"/>
  <c r="AE57"/>
  <c r="AA57"/>
  <c r="W57"/>
  <c r="O57"/>
  <c r="K57"/>
  <c r="G57"/>
  <c r="C57"/>
  <c r="AO56"/>
  <c r="AK56"/>
  <c r="AG56"/>
  <c r="AC56"/>
  <c r="Y56"/>
  <c r="U56"/>
  <c r="Q56"/>
  <c r="M56"/>
  <c r="I56"/>
  <c r="E56"/>
  <c r="AU55"/>
  <c r="AQ55"/>
  <c r="AM55"/>
  <c r="AI55"/>
  <c r="AE55"/>
  <c r="AA55"/>
  <c r="W55"/>
  <c r="O55"/>
  <c r="K55"/>
  <c r="G55"/>
  <c r="C55"/>
  <c r="AO54"/>
  <c r="AK54"/>
  <c r="AG54"/>
  <c r="AC54"/>
  <c r="Y54"/>
  <c r="U54"/>
  <c r="Q54"/>
  <c r="M54"/>
  <c r="I54"/>
  <c r="E54"/>
  <c r="AU53"/>
  <c r="AQ53"/>
  <c r="AM53"/>
  <c r="AI53"/>
  <c r="AE53"/>
  <c r="AA53"/>
  <c r="W53"/>
  <c r="O53"/>
  <c r="K53"/>
  <c r="G53"/>
  <c r="C53"/>
  <c r="AO52"/>
  <c r="AK52"/>
  <c r="AG52"/>
  <c r="AC52"/>
  <c r="Y52"/>
  <c r="U52"/>
  <c r="Q52"/>
  <c r="M52"/>
  <c r="I52"/>
  <c r="E52"/>
  <c r="AU51"/>
  <c r="AQ51"/>
  <c r="AM51"/>
  <c r="AI51"/>
  <c r="AE51"/>
  <c r="AA51"/>
  <c r="W51"/>
  <c r="O51"/>
  <c r="K51"/>
  <c r="G51"/>
  <c r="C51"/>
  <c r="AO50"/>
  <c r="AK50"/>
  <c r="AG50"/>
  <c r="AC50"/>
  <c r="Y50"/>
  <c r="U50"/>
  <c r="Q50"/>
  <c r="M50"/>
  <c r="I50"/>
  <c r="I57"/>
  <c r="AM56"/>
  <c r="W56"/>
  <c r="G56"/>
  <c r="AK55"/>
  <c r="U55"/>
  <c r="E55"/>
  <c r="AI54"/>
  <c r="AA54"/>
  <c r="K54"/>
  <c r="C54"/>
  <c r="AO53"/>
  <c r="AG53"/>
  <c r="Y53"/>
  <c r="Q53"/>
  <c r="I53"/>
  <c r="AU52"/>
  <c r="AM52"/>
  <c r="AE52"/>
  <c r="W52"/>
  <c r="O52"/>
  <c r="G52"/>
  <c r="AK51"/>
  <c r="AC51"/>
  <c r="U51"/>
  <c r="M51"/>
  <c r="E51"/>
  <c r="AQ50"/>
  <c r="AI50"/>
  <c r="AA50"/>
  <c r="K50"/>
  <c r="E50"/>
  <c r="AI49"/>
  <c r="AC49"/>
  <c r="M49"/>
  <c r="C49"/>
  <c r="AQ48"/>
  <c r="D287" i="26"/>
  <c r="D286"/>
  <c r="D285"/>
  <c r="D284"/>
  <c r="D283"/>
  <c r="E282"/>
  <c r="C280"/>
  <c r="D279"/>
  <c r="E278"/>
  <c r="C276"/>
  <c r="C269"/>
  <c r="C268"/>
  <c r="C267"/>
  <c r="C266"/>
  <c r="C265"/>
  <c r="D264"/>
  <c r="E263"/>
  <c r="C261"/>
  <c r="D260"/>
  <c r="E259"/>
  <c r="C246"/>
  <c r="D245"/>
  <c r="E244"/>
  <c r="C242"/>
  <c r="D241"/>
  <c r="E240"/>
  <c r="E233"/>
  <c r="E232"/>
  <c r="E231"/>
  <c r="E230"/>
  <c r="E229"/>
  <c r="C227"/>
  <c r="D226"/>
  <c r="E225"/>
  <c r="M57" i="27"/>
  <c r="AQ56"/>
  <c r="AA56"/>
  <c r="K56"/>
  <c r="AO55"/>
  <c r="Y55"/>
  <c r="I55"/>
  <c r="AM54"/>
  <c r="AU49"/>
  <c r="AO49"/>
  <c r="AE49"/>
  <c r="Y49"/>
  <c r="O49"/>
  <c r="I49"/>
  <c r="AM48"/>
  <c r="AI48"/>
  <c r="AE48"/>
  <c r="AA48"/>
  <c r="W48"/>
  <c r="O48"/>
  <c r="K48"/>
  <c r="G48"/>
  <c r="C48"/>
  <c r="AO47"/>
  <c r="AK47"/>
  <c r="AG47"/>
  <c r="AC47"/>
  <c r="Y47"/>
  <c r="U47"/>
  <c r="Q47"/>
  <c r="M47"/>
  <c r="I47"/>
  <c r="E47"/>
  <c r="AU46"/>
  <c r="AQ46"/>
  <c r="AM46"/>
  <c r="AI46"/>
  <c r="AE46"/>
  <c r="AA46"/>
  <c r="W46"/>
  <c r="O46"/>
  <c r="K46"/>
  <c r="G46"/>
  <c r="C46"/>
  <c r="AO45"/>
  <c r="AK45"/>
  <c r="AG45"/>
  <c r="AC45"/>
  <c r="Y45"/>
  <c r="U45"/>
  <c r="Q45"/>
  <c r="M45"/>
  <c r="I45"/>
  <c r="E45"/>
  <c r="AU44"/>
  <c r="AQ44"/>
  <c r="AM44"/>
  <c r="AI44"/>
  <c r="AE44"/>
  <c r="AA44"/>
  <c r="W44"/>
  <c r="O44"/>
  <c r="K44"/>
  <c r="G44"/>
  <c r="C44"/>
  <c r="AO43"/>
  <c r="AK43"/>
  <c r="AG43"/>
  <c r="AC43"/>
  <c r="Y43"/>
  <c r="U43"/>
  <c r="Q43"/>
  <c r="M43"/>
  <c r="I43"/>
  <c r="E43"/>
  <c r="AU42"/>
  <c r="AQ42"/>
  <c r="AM42"/>
  <c r="AI42"/>
  <c r="AE42"/>
  <c r="AA42"/>
  <c r="W42"/>
  <c r="O42"/>
  <c r="K42"/>
  <c r="G42"/>
  <c r="C42"/>
  <c r="AO41"/>
  <c r="AK41"/>
  <c r="AG41"/>
  <c r="AC41"/>
  <c r="Y41"/>
  <c r="U41"/>
  <c r="Q41"/>
  <c r="M41"/>
  <c r="I41"/>
  <c r="E41"/>
  <c r="AU40"/>
  <c r="AQ40"/>
  <c r="AM40"/>
  <c r="AI40"/>
  <c r="AE40"/>
  <c r="AA40"/>
  <c r="W40"/>
  <c r="O40"/>
  <c r="K40"/>
  <c r="G40"/>
  <c r="C40"/>
  <c r="AO39"/>
  <c r="AK39"/>
  <c r="AG39"/>
  <c r="AC39"/>
  <c r="Y39"/>
  <c r="U39"/>
  <c r="Q39"/>
  <c r="M39"/>
  <c r="I39"/>
  <c r="E39"/>
  <c r="AU38"/>
  <c r="AQ38"/>
  <c r="AM38"/>
  <c r="AI38"/>
  <c r="AE38"/>
  <c r="AA38"/>
  <c r="W38"/>
  <c r="O38"/>
  <c r="K38"/>
  <c r="G38"/>
  <c r="C38"/>
  <c r="AO37"/>
  <c r="AK37"/>
  <c r="AG37"/>
  <c r="AC37"/>
  <c r="Y37"/>
  <c r="U37"/>
  <c r="Q37"/>
  <c r="M37"/>
  <c r="I37"/>
  <c r="E37"/>
  <c r="AU36"/>
  <c r="AQ36"/>
  <c r="AM36"/>
  <c r="AI36"/>
  <c r="AE36"/>
  <c r="AA36"/>
  <c r="W36"/>
  <c r="O36"/>
  <c r="K36"/>
  <c r="G36"/>
  <c r="C36"/>
  <c r="AO35"/>
  <c r="AK35"/>
  <c r="AG35"/>
  <c r="AC35"/>
  <c r="Y35"/>
  <c r="U35"/>
  <c r="Q35"/>
  <c r="M35"/>
  <c r="I35"/>
  <c r="E35"/>
  <c r="AU34"/>
  <c r="AQ34"/>
  <c r="AM34"/>
  <c r="AI34"/>
  <c r="AE34"/>
  <c r="AA34"/>
  <c r="W34"/>
  <c r="O34"/>
  <c r="K34"/>
  <c r="G34"/>
  <c r="C34"/>
  <c r="AO33"/>
  <c r="AK33"/>
  <c r="AG33"/>
  <c r="AC33"/>
  <c r="Y33"/>
  <c r="U33"/>
  <c r="Q33"/>
  <c r="M33"/>
  <c r="I33"/>
  <c r="E33"/>
  <c r="AU32"/>
  <c r="AQ32"/>
  <c r="AM32"/>
  <c r="AI32"/>
  <c r="AE32"/>
  <c r="AA32"/>
  <c r="W32"/>
  <c r="O32"/>
  <c r="K32"/>
  <c r="G32"/>
  <c r="C32"/>
  <c r="AO31"/>
  <c r="AK31"/>
  <c r="AG31"/>
  <c r="AC31"/>
  <c r="Y31"/>
  <c r="U31"/>
  <c r="Q31"/>
  <c r="M31"/>
  <c r="I31"/>
  <c r="E31"/>
  <c r="AU30"/>
  <c r="AQ30"/>
  <c r="AM30"/>
  <c r="AI30"/>
  <c r="AE30"/>
  <c r="AA30"/>
  <c r="W30"/>
  <c r="O30"/>
  <c r="K30"/>
  <c r="G30"/>
  <c r="C30"/>
  <c r="AO29"/>
  <c r="AK29"/>
  <c r="AG29"/>
  <c r="AC29"/>
  <c r="Y29"/>
  <c r="U29"/>
  <c r="Q29"/>
  <c r="M29"/>
  <c r="I29"/>
  <c r="E29"/>
  <c r="AU28"/>
  <c r="AQ28"/>
  <c r="AM28"/>
  <c r="AI28"/>
  <c r="AE28"/>
  <c r="AA28"/>
  <c r="W28"/>
  <c r="O28"/>
  <c r="K28"/>
  <c r="G28"/>
  <c r="C28"/>
  <c r="AO27"/>
  <c r="AK27"/>
  <c r="AG27"/>
  <c r="AC27"/>
  <c r="Y27"/>
  <c r="U27"/>
  <c r="Q27"/>
  <c r="M27"/>
  <c r="I27"/>
  <c r="E27"/>
  <c r="AU26"/>
  <c r="AQ26"/>
  <c r="AM26"/>
  <c r="AI26"/>
  <c r="AE26"/>
  <c r="AA26"/>
  <c r="W26"/>
  <c r="O26"/>
  <c r="K26"/>
  <c r="G26"/>
  <c r="C26"/>
  <c r="AO25"/>
  <c r="AK25"/>
  <c r="AG25"/>
  <c r="AC25"/>
  <c r="Y25"/>
  <c r="U25"/>
  <c r="Q25"/>
  <c r="M25"/>
  <c r="I25"/>
  <c r="E25"/>
  <c r="AU24"/>
  <c r="AQ24"/>
  <c r="AM24"/>
  <c r="AI24"/>
  <c r="AE24"/>
  <c r="AA24"/>
  <c r="W24"/>
  <c r="O24"/>
  <c r="K24"/>
  <c r="G24"/>
  <c r="C24"/>
  <c r="AO23"/>
  <c r="AK23"/>
  <c r="AG23"/>
  <c r="AC23"/>
  <c r="Y23"/>
  <c r="U23"/>
  <c r="Q23"/>
  <c r="M23"/>
  <c r="I23"/>
  <c r="E23"/>
  <c r="AU22"/>
  <c r="AQ22"/>
  <c r="AM22"/>
  <c r="AI22"/>
  <c r="AE22"/>
  <c r="AA22"/>
  <c r="W22"/>
  <c r="O22"/>
  <c r="K22"/>
  <c r="G22"/>
  <c r="C22"/>
  <c r="AO21"/>
  <c r="AK21"/>
  <c r="AG21"/>
  <c r="AC21"/>
  <c r="Y21"/>
  <c r="U21"/>
  <c r="Q21"/>
  <c r="M21"/>
  <c r="I21"/>
  <c r="E21"/>
  <c r="AU20"/>
  <c r="AQ20"/>
  <c r="AM20"/>
  <c r="AI20"/>
  <c r="AE20"/>
  <c r="AA20"/>
  <c r="W20"/>
  <c r="O20"/>
  <c r="K20"/>
  <c r="G20"/>
  <c r="C20"/>
  <c r="AO19"/>
  <c r="AK19"/>
  <c r="AG19"/>
  <c r="AC19"/>
  <c r="Y19"/>
  <c r="U19"/>
  <c r="Q19"/>
  <c r="M19"/>
  <c r="I19"/>
  <c r="E19"/>
  <c r="AU18"/>
  <c r="AQ18"/>
  <c r="AM18"/>
  <c r="AI18"/>
  <c r="AE18"/>
  <c r="AA18"/>
  <c r="W18"/>
  <c r="O18"/>
  <c r="K18"/>
  <c r="G18"/>
  <c r="C18"/>
  <c r="AO17"/>
  <c r="AK17"/>
  <c r="AG17"/>
  <c r="AC17"/>
  <c r="Y17"/>
  <c r="U17"/>
  <c r="Q17"/>
  <c r="M17"/>
  <c r="I17"/>
  <c r="E17"/>
  <c r="AU16"/>
  <c r="AQ16"/>
  <c r="Q57"/>
  <c r="AU56"/>
  <c r="AE56"/>
  <c r="O56"/>
  <c r="AC55"/>
  <c r="M55"/>
  <c r="AQ54"/>
  <c r="AE54"/>
  <c r="W54"/>
  <c r="O54"/>
  <c r="G54"/>
  <c r="AK53"/>
  <c r="AC53"/>
  <c r="U53"/>
  <c r="M53"/>
  <c r="E53"/>
  <c r="AQ52"/>
  <c r="AI52"/>
  <c r="AA52"/>
  <c r="K52"/>
  <c r="C52"/>
  <c r="AO51"/>
  <c r="AG51"/>
  <c r="Y51"/>
  <c r="Q51"/>
  <c r="I51"/>
  <c r="AU50"/>
  <c r="AM50"/>
  <c r="AE50"/>
  <c r="W50"/>
  <c r="O50"/>
  <c r="G50"/>
  <c r="AQ49"/>
  <c r="AK49"/>
  <c r="AA49"/>
  <c r="U49"/>
  <c r="K49"/>
  <c r="E49"/>
  <c r="AO48"/>
  <c r="C282" i="26"/>
  <c r="D281"/>
  <c r="E280"/>
  <c r="C278"/>
  <c r="D277"/>
  <c r="E276"/>
  <c r="E269"/>
  <c r="E268"/>
  <c r="E267"/>
  <c r="E266"/>
  <c r="E265"/>
  <c r="C263"/>
  <c r="D262"/>
  <c r="E261"/>
  <c r="C259"/>
  <c r="D258"/>
  <c r="D251"/>
  <c r="D250"/>
  <c r="D249"/>
  <c r="D248"/>
  <c r="D247"/>
  <c r="E246"/>
  <c r="C244"/>
  <c r="D243"/>
  <c r="E242"/>
  <c r="C240"/>
  <c r="C233"/>
  <c r="C232"/>
  <c r="C231"/>
  <c r="C230"/>
  <c r="C229"/>
  <c r="D228"/>
  <c r="E227"/>
  <c r="C225"/>
  <c r="D224"/>
  <c r="E223"/>
  <c r="U57" i="27"/>
  <c r="E57"/>
  <c r="AI56"/>
  <c r="C56"/>
  <c r="AG55"/>
  <c r="Q55"/>
  <c r="AU54"/>
  <c r="C50"/>
  <c r="AM49"/>
  <c r="AG49"/>
  <c r="W49"/>
  <c r="Q49"/>
  <c r="G49"/>
  <c r="AU48"/>
  <c r="AK48"/>
  <c r="AG48"/>
  <c r="AC48"/>
  <c r="Y48"/>
  <c r="U48"/>
  <c r="Q48"/>
  <c r="M48"/>
  <c r="I48"/>
  <c r="E48"/>
  <c r="AU47"/>
  <c r="AQ47"/>
  <c r="AM47"/>
  <c r="AI47"/>
  <c r="AE47"/>
  <c r="AA47"/>
  <c r="W47"/>
  <c r="O47"/>
  <c r="K47"/>
  <c r="G47"/>
  <c r="C47"/>
  <c r="AO46"/>
  <c r="AK46"/>
  <c r="AG46"/>
  <c r="AC46"/>
  <c r="Y46"/>
  <c r="U46"/>
  <c r="Q46"/>
  <c r="M46"/>
  <c r="I46"/>
  <c r="E46"/>
  <c r="AU45"/>
  <c r="AQ45"/>
  <c r="AM45"/>
  <c r="AI45"/>
  <c r="AE45"/>
  <c r="AA45"/>
  <c r="W45"/>
  <c r="O45"/>
  <c r="K45"/>
  <c r="G45"/>
  <c r="C45"/>
  <c r="AO44"/>
  <c r="AK44"/>
  <c r="AG44"/>
  <c r="AC44"/>
  <c r="Y44"/>
  <c r="U44"/>
  <c r="Q44"/>
  <c r="M44"/>
  <c r="I44"/>
  <c r="E44"/>
  <c r="AU43"/>
  <c r="AQ43"/>
  <c r="AM43"/>
  <c r="AI43"/>
  <c r="AE43"/>
  <c r="AA43"/>
  <c r="W43"/>
  <c r="O43"/>
  <c r="K43"/>
  <c r="G43"/>
  <c r="C43"/>
  <c r="AO42"/>
  <c r="AK42"/>
  <c r="AG42"/>
  <c r="AC42"/>
  <c r="Y42"/>
  <c r="U42"/>
  <c r="Q42"/>
  <c r="M42"/>
  <c r="I42"/>
  <c r="E42"/>
  <c r="AU41"/>
  <c r="AQ41"/>
  <c r="AM41"/>
  <c r="AI41"/>
  <c r="AE41"/>
  <c r="AA41"/>
  <c r="W41"/>
  <c r="O41"/>
  <c r="K41"/>
  <c r="G41"/>
  <c r="C41"/>
  <c r="AO40"/>
  <c r="AK40"/>
  <c r="AG40"/>
  <c r="AC40"/>
  <c r="Y40"/>
  <c r="U40"/>
  <c r="Q40"/>
  <c r="M40"/>
  <c r="I40"/>
  <c r="E40"/>
  <c r="AU39"/>
  <c r="AQ39"/>
  <c r="AM39"/>
  <c r="AI39"/>
  <c r="AE39"/>
  <c r="AA39"/>
  <c r="W39"/>
  <c r="O39"/>
  <c r="K39"/>
  <c r="G39"/>
  <c r="C39"/>
  <c r="AO38"/>
  <c r="AK38"/>
  <c r="AG38"/>
  <c r="AC38"/>
  <c r="Y38"/>
  <c r="U38"/>
  <c r="Q38"/>
  <c r="M38"/>
  <c r="I38"/>
  <c r="E38"/>
  <c r="AU37"/>
  <c r="AQ37"/>
  <c r="AM37"/>
  <c r="AI37"/>
  <c r="AE37"/>
  <c r="AA37"/>
  <c r="W37"/>
  <c r="O37"/>
  <c r="K37"/>
  <c r="G37"/>
  <c r="C37"/>
  <c r="AO36"/>
  <c r="AK36"/>
  <c r="AG36"/>
  <c r="AC36"/>
  <c r="Y36"/>
  <c r="U36"/>
  <c r="Q36"/>
  <c r="M36"/>
  <c r="I36"/>
  <c r="E36"/>
  <c r="AU35"/>
  <c r="AQ35"/>
  <c r="AM35"/>
  <c r="AI35"/>
  <c r="AE35"/>
  <c r="AA35"/>
  <c r="W35"/>
  <c r="O35"/>
  <c r="K35"/>
  <c r="G35"/>
  <c r="C35"/>
  <c r="AO34"/>
  <c r="AK34"/>
  <c r="AG34"/>
  <c r="AC34"/>
  <c r="Y34"/>
  <c r="U34"/>
  <c r="Q34"/>
  <c r="M34"/>
  <c r="I34"/>
  <c r="E34"/>
  <c r="AU33"/>
  <c r="AQ33"/>
  <c r="AM33"/>
  <c r="AI33"/>
  <c r="AE33"/>
  <c r="AA33"/>
  <c r="W33"/>
  <c r="O33"/>
  <c r="K33"/>
  <c r="G33"/>
  <c r="C33"/>
  <c r="AO32"/>
  <c r="AK32"/>
  <c r="AG32"/>
  <c r="AC32"/>
  <c r="Y32"/>
  <c r="U32"/>
  <c r="Q32"/>
  <c r="M32"/>
  <c r="I32"/>
  <c r="E32"/>
  <c r="AU31"/>
  <c r="AQ31"/>
  <c r="AM31"/>
  <c r="AI31"/>
  <c r="AE31"/>
  <c r="AA31"/>
  <c r="W31"/>
  <c r="O31"/>
  <c r="K31"/>
  <c r="G31"/>
  <c r="C31"/>
  <c r="AO30"/>
  <c r="AK30"/>
  <c r="AG30"/>
  <c r="AC30"/>
  <c r="Y30"/>
  <c r="U30"/>
  <c r="Q30"/>
  <c r="M30"/>
  <c r="I30"/>
  <c r="E30"/>
  <c r="AU29"/>
  <c r="AQ29"/>
  <c r="AM29"/>
  <c r="AI29"/>
  <c r="AE29"/>
  <c r="AA29"/>
  <c r="W29"/>
  <c r="O29"/>
  <c r="K29"/>
  <c r="G29"/>
  <c r="C29"/>
  <c r="AO28"/>
  <c r="AK28"/>
  <c r="AG28"/>
  <c r="AC28"/>
  <c r="Y28"/>
  <c r="U28"/>
  <c r="Q28"/>
  <c r="M28"/>
  <c r="I28"/>
  <c r="E28"/>
  <c r="AU27"/>
  <c r="AQ27"/>
  <c r="AM27"/>
  <c r="AI27"/>
  <c r="AE27"/>
  <c r="AA27"/>
  <c r="W27"/>
  <c r="O27"/>
  <c r="K27"/>
  <c r="G27"/>
  <c r="C27"/>
  <c r="AO26"/>
  <c r="AK26"/>
  <c r="AG26"/>
  <c r="AC26"/>
  <c r="Y26"/>
  <c r="U26"/>
  <c r="Q26"/>
  <c r="M26"/>
  <c r="I26"/>
  <c r="E26"/>
  <c r="AU25"/>
  <c r="AQ25"/>
  <c r="AM25"/>
  <c r="AI25"/>
  <c r="AE25"/>
  <c r="AA25"/>
  <c r="W25"/>
  <c r="O25"/>
  <c r="K25"/>
  <c r="G25"/>
  <c r="C25"/>
  <c r="AO24"/>
  <c r="AK24"/>
  <c r="AG24"/>
  <c r="AC24"/>
  <c r="Y24"/>
  <c r="U24"/>
  <c r="Q24"/>
  <c r="M24"/>
  <c r="I24"/>
  <c r="E24"/>
  <c r="AU23"/>
  <c r="AQ23"/>
  <c r="AM23"/>
  <c r="AI23"/>
  <c r="AE23"/>
  <c r="AA23"/>
  <c r="W23"/>
  <c r="O23"/>
  <c r="K23"/>
  <c r="G23"/>
  <c r="C23"/>
  <c r="AO22"/>
  <c r="AK22"/>
  <c r="AG22"/>
  <c r="AC22"/>
  <c r="Y22"/>
  <c r="U22"/>
  <c r="Q22"/>
  <c r="M22"/>
  <c r="I22"/>
  <c r="E22"/>
  <c r="AU21"/>
  <c r="AQ21"/>
  <c r="AM21"/>
  <c r="AI21"/>
  <c r="AE21"/>
  <c r="AA21"/>
  <c r="W21"/>
  <c r="O21"/>
  <c r="K21"/>
  <c r="G21"/>
  <c r="C21"/>
  <c r="AO20"/>
  <c r="AK20"/>
  <c r="AG20"/>
  <c r="AC20"/>
  <c r="Y20"/>
  <c r="U20"/>
  <c r="Q20"/>
  <c r="M20"/>
  <c r="I20"/>
  <c r="E20"/>
  <c r="AU19"/>
  <c r="AQ19"/>
  <c r="AM19"/>
  <c r="AI19"/>
  <c r="AE19"/>
  <c r="AA19"/>
  <c r="W19"/>
  <c r="O19"/>
  <c r="K19"/>
  <c r="G19"/>
  <c r="C19"/>
  <c r="AO18"/>
  <c r="AK18"/>
  <c r="AG18"/>
  <c r="AC18"/>
  <c r="Y18"/>
  <c r="U18"/>
  <c r="Q18"/>
  <c r="M18"/>
  <c r="I18"/>
  <c r="E18"/>
  <c r="AU17"/>
  <c r="AQ17"/>
  <c r="AM17"/>
  <c r="AI17"/>
  <c r="AE17"/>
  <c r="AA17"/>
  <c r="W17"/>
  <c r="O17"/>
  <c r="K17"/>
  <c r="G17"/>
  <c r="C17"/>
  <c r="AO16"/>
  <c r="AG16"/>
  <c r="Y16"/>
  <c r="Q16"/>
  <c r="I16"/>
  <c r="AU15"/>
  <c r="AM15"/>
  <c r="AE15"/>
  <c r="W15"/>
  <c r="O15"/>
  <c r="G15"/>
  <c r="AK14"/>
  <c r="AC14"/>
  <c r="U14"/>
  <c r="M14"/>
  <c r="E14"/>
  <c r="AQ13"/>
  <c r="AI13"/>
  <c r="AA13"/>
  <c r="K13"/>
  <c r="C13"/>
  <c r="AO12"/>
  <c r="AG12"/>
  <c r="Y12"/>
  <c r="Q12"/>
  <c r="I12"/>
  <c r="AU11"/>
  <c r="AM11"/>
  <c r="AE11"/>
  <c r="W11"/>
  <c r="O11"/>
  <c r="G11"/>
  <c r="AK10"/>
  <c r="AC10"/>
  <c r="U10"/>
  <c r="M10"/>
  <c r="E10"/>
  <c r="AQ9"/>
  <c r="AI9"/>
  <c r="AA9"/>
  <c r="K9"/>
  <c r="C9"/>
  <c r="AO8"/>
  <c r="AG8"/>
  <c r="Y8"/>
  <c r="Q8"/>
  <c r="I8"/>
  <c r="AU7"/>
  <c r="AM7"/>
  <c r="AE7"/>
  <c r="W7"/>
  <c r="O7"/>
  <c r="G7"/>
  <c r="C286" i="26"/>
  <c r="C284"/>
  <c r="D282"/>
  <c r="C279"/>
  <c r="E277"/>
  <c r="D263"/>
  <c r="C260"/>
  <c r="E258"/>
  <c r="E251"/>
  <c r="E249"/>
  <c r="E247"/>
  <c r="D244"/>
  <c r="C241"/>
  <c r="D232"/>
  <c r="D230"/>
  <c r="E228"/>
  <c r="D225"/>
  <c r="E222"/>
  <c r="E215"/>
  <c r="E214"/>
  <c r="E213"/>
  <c r="E212"/>
  <c r="E211"/>
  <c r="C209"/>
  <c r="D208"/>
  <c r="E207"/>
  <c r="C205"/>
  <c r="D204"/>
  <c r="D197"/>
  <c r="D196"/>
  <c r="D195"/>
  <c r="D194"/>
  <c r="D193"/>
  <c r="E192"/>
  <c r="C190"/>
  <c r="D189"/>
  <c r="E188"/>
  <c r="C186"/>
  <c r="C179"/>
  <c r="C178"/>
  <c r="C177"/>
  <c r="C176"/>
  <c r="C175"/>
  <c r="D174"/>
  <c r="E173"/>
  <c r="C171"/>
  <c r="D170"/>
  <c r="E169"/>
  <c r="C156"/>
  <c r="D155"/>
  <c r="E154"/>
  <c r="C152"/>
  <c r="D151"/>
  <c r="E150"/>
  <c r="E143"/>
  <c r="E142"/>
  <c r="E141"/>
  <c r="E140"/>
  <c r="E139"/>
  <c r="C137"/>
  <c r="D136"/>
  <c r="E135"/>
  <c r="C133"/>
  <c r="D132"/>
  <c r="D125"/>
  <c r="D124"/>
  <c r="D123"/>
  <c r="D122"/>
  <c r="D121"/>
  <c r="E120"/>
  <c r="C118"/>
  <c r="D117"/>
  <c r="E116"/>
  <c r="C114"/>
  <c r="C107"/>
  <c r="C106"/>
  <c r="C105"/>
  <c r="C104"/>
  <c r="C103"/>
  <c r="D102"/>
  <c r="E101"/>
  <c r="C99"/>
  <c r="D98"/>
  <c r="E97"/>
  <c r="C84"/>
  <c r="D83"/>
  <c r="E82"/>
  <c r="C80"/>
  <c r="D79"/>
  <c r="E78"/>
  <c r="E71"/>
  <c r="E70"/>
  <c r="E69"/>
  <c r="E68"/>
  <c r="E67"/>
  <c r="C65"/>
  <c r="D64"/>
  <c r="E63"/>
  <c r="C61"/>
  <c r="D60"/>
  <c r="D53"/>
  <c r="D52"/>
  <c r="D51"/>
  <c r="D50"/>
  <c r="D49"/>
  <c r="E48"/>
  <c r="C46"/>
  <c r="D45"/>
  <c r="E44"/>
  <c r="C42"/>
  <c r="C35"/>
  <c r="C34"/>
  <c r="C33"/>
  <c r="C32"/>
  <c r="C31"/>
  <c r="D30"/>
  <c r="E29"/>
  <c r="C27"/>
  <c r="D26"/>
  <c r="E25"/>
  <c r="C12"/>
  <c r="D11"/>
  <c r="E10"/>
  <c r="C8"/>
  <c r="D7"/>
  <c r="E6"/>
  <c r="J38" i="24"/>
  <c r="F38"/>
  <c r="I37"/>
  <c r="E37"/>
  <c r="H36"/>
  <c r="D36"/>
  <c r="G35"/>
  <c r="J34"/>
  <c r="F34"/>
  <c r="I33"/>
  <c r="E33"/>
  <c r="H32"/>
  <c r="D32"/>
  <c r="G31"/>
  <c r="J30"/>
  <c r="F30"/>
  <c r="I29"/>
  <c r="E29"/>
  <c r="H28"/>
  <c r="D28"/>
  <c r="G27"/>
  <c r="J26"/>
  <c r="F26"/>
  <c r="I18"/>
  <c r="E18"/>
  <c r="H17"/>
  <c r="D17"/>
  <c r="G16"/>
  <c r="J15"/>
  <c r="F15"/>
  <c r="I14"/>
  <c r="E14"/>
  <c r="H13"/>
  <c r="D13"/>
  <c r="G12"/>
  <c r="J11"/>
  <c r="F11"/>
  <c r="I10"/>
  <c r="E10"/>
  <c r="H9"/>
  <c r="D9"/>
  <c r="G8"/>
  <c r="J7"/>
  <c r="F7"/>
  <c r="I6"/>
  <c r="E6"/>
  <c r="H69" i="19"/>
  <c r="D69"/>
  <c r="G68"/>
  <c r="J67"/>
  <c r="F67"/>
  <c r="I66"/>
  <c r="E66"/>
  <c r="H65"/>
  <c r="D65"/>
  <c r="G64"/>
  <c r="J63"/>
  <c r="F63"/>
  <c r="I62"/>
  <c r="E62"/>
  <c r="H61"/>
  <c r="D61"/>
  <c r="G60"/>
  <c r="J59"/>
  <c r="F59"/>
  <c r="I58"/>
  <c r="E58"/>
  <c r="H57"/>
  <c r="D57"/>
  <c r="G56"/>
  <c r="J55"/>
  <c r="F55"/>
  <c r="I54"/>
  <c r="E54"/>
  <c r="H53"/>
  <c r="D53"/>
  <c r="G52"/>
  <c r="J51"/>
  <c r="F51"/>
  <c r="I50"/>
  <c r="E50"/>
  <c r="H49"/>
  <c r="D49"/>
  <c r="G48"/>
  <c r="J47"/>
  <c r="F47"/>
  <c r="I46"/>
  <c r="E46"/>
  <c r="H45"/>
  <c r="D45"/>
  <c r="G44"/>
  <c r="J43"/>
  <c r="F43"/>
  <c r="I42"/>
  <c r="E42"/>
  <c r="H41"/>
  <c r="D41"/>
  <c r="G40"/>
  <c r="J39"/>
  <c r="F39"/>
  <c r="I38"/>
  <c r="E38"/>
  <c r="H37"/>
  <c r="D37"/>
  <c r="G36"/>
  <c r="J35"/>
  <c r="F35"/>
  <c r="I34"/>
  <c r="E34"/>
  <c r="H33"/>
  <c r="D33"/>
  <c r="G32"/>
  <c r="J31"/>
  <c r="F31"/>
  <c r="I30"/>
  <c r="E30"/>
  <c r="H29"/>
  <c r="D29"/>
  <c r="G28"/>
  <c r="J27"/>
  <c r="F27"/>
  <c r="I26"/>
  <c r="E26"/>
  <c r="H25"/>
  <c r="D25"/>
  <c r="G24"/>
  <c r="J23"/>
  <c r="F23"/>
  <c r="I22"/>
  <c r="E22"/>
  <c r="H21"/>
  <c r="D21"/>
  <c r="G20"/>
  <c r="J19"/>
  <c r="F19"/>
  <c r="I18"/>
  <c r="E18"/>
  <c r="H17"/>
  <c r="D17"/>
  <c r="H16"/>
  <c r="D16"/>
  <c r="G15"/>
  <c r="J14"/>
  <c r="F14"/>
  <c r="I13"/>
  <c r="E13"/>
  <c r="H12"/>
  <c r="D12"/>
  <c r="G11"/>
  <c r="J10"/>
  <c r="F10"/>
  <c r="I9"/>
  <c r="E9"/>
  <c r="H8"/>
  <c r="D8"/>
  <c r="G7"/>
  <c r="J6"/>
  <c r="F6"/>
  <c r="I5"/>
  <c r="E5"/>
  <c r="J57" i="17"/>
  <c r="F57"/>
  <c r="J56"/>
  <c r="F56"/>
  <c r="J55"/>
  <c r="F55"/>
  <c r="J54"/>
  <c r="F54"/>
  <c r="J53"/>
  <c r="F53"/>
  <c r="J52"/>
  <c r="F52"/>
  <c r="I51"/>
  <c r="E51"/>
  <c r="L50"/>
  <c r="H50"/>
  <c r="D50"/>
  <c r="K49"/>
  <c r="G49"/>
  <c r="J48"/>
  <c r="F48"/>
  <c r="I47"/>
  <c r="E47"/>
  <c r="L46"/>
  <c r="H46"/>
  <c r="D46"/>
  <c r="K45"/>
  <c r="G45"/>
  <c r="K37"/>
  <c r="G37"/>
  <c r="K36"/>
  <c r="G36"/>
  <c r="K35"/>
  <c r="G35"/>
  <c r="K34"/>
  <c r="G34"/>
  <c r="K33"/>
  <c r="G33"/>
  <c r="K32"/>
  <c r="G32"/>
  <c r="J31"/>
  <c r="F31"/>
  <c r="I30"/>
  <c r="E30"/>
  <c r="L29"/>
  <c r="H29"/>
  <c r="D29"/>
  <c r="AI16" i="27"/>
  <c r="AA16"/>
  <c r="K16"/>
  <c r="C16"/>
  <c r="AO15"/>
  <c r="AG15"/>
  <c r="Y15"/>
  <c r="Q15"/>
  <c r="I15"/>
  <c r="AU14"/>
  <c r="AM14"/>
  <c r="AE14"/>
  <c r="W14"/>
  <c r="O14"/>
  <c r="G14"/>
  <c r="AK13"/>
  <c r="AC13"/>
  <c r="U13"/>
  <c r="M13"/>
  <c r="E13"/>
  <c r="AQ12"/>
  <c r="AI12"/>
  <c r="AA12"/>
  <c r="K12"/>
  <c r="C12"/>
  <c r="AO11"/>
  <c r="AG11"/>
  <c r="Y11"/>
  <c r="Q11"/>
  <c r="I11"/>
  <c r="AU10"/>
  <c r="AM10"/>
  <c r="AE10"/>
  <c r="W10"/>
  <c r="O10"/>
  <c r="G10"/>
  <c r="AK9"/>
  <c r="AC9"/>
  <c r="U9"/>
  <c r="M9"/>
  <c r="E9"/>
  <c r="AQ8"/>
  <c r="AI8"/>
  <c r="AA8"/>
  <c r="K8"/>
  <c r="C8"/>
  <c r="AO7"/>
  <c r="AG7"/>
  <c r="Y7"/>
  <c r="Q7"/>
  <c r="I7"/>
  <c r="E286" i="26"/>
  <c r="E284"/>
  <c r="C281"/>
  <c r="E279"/>
  <c r="D276"/>
  <c r="D269"/>
  <c r="D267"/>
  <c r="D265"/>
  <c r="C262"/>
  <c r="E260"/>
  <c r="C250"/>
  <c r="C248"/>
  <c r="D246"/>
  <c r="C243"/>
  <c r="E241"/>
  <c r="D227"/>
  <c r="C224"/>
  <c r="C210"/>
  <c r="D209"/>
  <c r="E208"/>
  <c r="C206"/>
  <c r="D205"/>
  <c r="E204"/>
  <c r="E197"/>
  <c r="E196"/>
  <c r="E195"/>
  <c r="E194"/>
  <c r="E193"/>
  <c r="C191"/>
  <c r="D190"/>
  <c r="E189"/>
  <c r="C187"/>
  <c r="D186"/>
  <c r="D179"/>
  <c r="D178"/>
  <c r="D177"/>
  <c r="D176"/>
  <c r="D175"/>
  <c r="E174"/>
  <c r="C172"/>
  <c r="D171"/>
  <c r="E170"/>
  <c r="C168"/>
  <c r="C161"/>
  <c r="C160"/>
  <c r="C159"/>
  <c r="C158"/>
  <c r="C157"/>
  <c r="D156"/>
  <c r="E155"/>
  <c r="C153"/>
  <c r="D152"/>
  <c r="E151"/>
  <c r="C138"/>
  <c r="D137"/>
  <c r="E136"/>
  <c r="C134"/>
  <c r="D133"/>
  <c r="E132"/>
  <c r="E125"/>
  <c r="E124"/>
  <c r="E123"/>
  <c r="E122"/>
  <c r="E121"/>
  <c r="C119"/>
  <c r="D118"/>
  <c r="E117"/>
  <c r="C115"/>
  <c r="D114"/>
  <c r="D107"/>
  <c r="D106"/>
  <c r="D105"/>
  <c r="D104"/>
  <c r="D103"/>
  <c r="E102"/>
  <c r="C100"/>
  <c r="D99"/>
  <c r="E98"/>
  <c r="C96"/>
  <c r="C89"/>
  <c r="C88"/>
  <c r="C87"/>
  <c r="C86"/>
  <c r="C85"/>
  <c r="D84"/>
  <c r="E83"/>
  <c r="C81"/>
  <c r="D80"/>
  <c r="E79"/>
  <c r="C66"/>
  <c r="D65"/>
  <c r="E64"/>
  <c r="C62"/>
  <c r="D61"/>
  <c r="E60"/>
  <c r="E53"/>
  <c r="E52"/>
  <c r="E51"/>
  <c r="E50"/>
  <c r="E49"/>
  <c r="C47"/>
  <c r="D46"/>
  <c r="E45"/>
  <c r="C43"/>
  <c r="D42"/>
  <c r="D35"/>
  <c r="D34"/>
  <c r="D33"/>
  <c r="D32"/>
  <c r="D31"/>
  <c r="E30"/>
  <c r="C28"/>
  <c r="D27"/>
  <c r="E26"/>
  <c r="C24"/>
  <c r="C17"/>
  <c r="C16"/>
  <c r="C15"/>
  <c r="C14"/>
  <c r="C13"/>
  <c r="D12"/>
  <c r="E11"/>
  <c r="C9"/>
  <c r="D8"/>
  <c r="E7"/>
  <c r="G38" i="24"/>
  <c r="J37"/>
  <c r="F37"/>
  <c r="I36"/>
  <c r="E36"/>
  <c r="H35"/>
  <c r="D35"/>
  <c r="G34"/>
  <c r="J33"/>
  <c r="F33"/>
  <c r="I32"/>
  <c r="E32"/>
  <c r="H31"/>
  <c r="D31"/>
  <c r="G30"/>
  <c r="J29"/>
  <c r="F29"/>
  <c r="I28"/>
  <c r="E28"/>
  <c r="H27"/>
  <c r="D27"/>
  <c r="G26"/>
  <c r="J18"/>
  <c r="F18"/>
  <c r="I17"/>
  <c r="E17"/>
  <c r="H16"/>
  <c r="D16"/>
  <c r="G15"/>
  <c r="J14"/>
  <c r="F14"/>
  <c r="I13"/>
  <c r="E13"/>
  <c r="H12"/>
  <c r="D12"/>
  <c r="G11"/>
  <c r="J10"/>
  <c r="F10"/>
  <c r="I9"/>
  <c r="E9"/>
  <c r="H8"/>
  <c r="D8"/>
  <c r="G7"/>
  <c r="J6"/>
  <c r="F6"/>
  <c r="I69" i="19"/>
  <c r="E69"/>
  <c r="H68"/>
  <c r="D68"/>
  <c r="G67"/>
  <c r="J66"/>
  <c r="F66"/>
  <c r="I65"/>
  <c r="E65"/>
  <c r="H64"/>
  <c r="D64"/>
  <c r="G63"/>
  <c r="J62"/>
  <c r="F62"/>
  <c r="I61"/>
  <c r="E61"/>
  <c r="H60"/>
  <c r="D60"/>
  <c r="G59"/>
  <c r="J58"/>
  <c r="F58"/>
  <c r="I57"/>
  <c r="E57"/>
  <c r="H56"/>
  <c r="D56"/>
  <c r="G55"/>
  <c r="J54"/>
  <c r="F54"/>
  <c r="I53"/>
  <c r="E53"/>
  <c r="H52"/>
  <c r="D52"/>
  <c r="G51"/>
  <c r="J50"/>
  <c r="F50"/>
  <c r="I49"/>
  <c r="E49"/>
  <c r="H48"/>
  <c r="D48"/>
  <c r="G47"/>
  <c r="J46"/>
  <c r="F46"/>
  <c r="I45"/>
  <c r="E45"/>
  <c r="H44"/>
  <c r="D44"/>
  <c r="G43"/>
  <c r="J42"/>
  <c r="F42"/>
  <c r="I41"/>
  <c r="E41"/>
  <c r="H40"/>
  <c r="D40"/>
  <c r="G39"/>
  <c r="J38"/>
  <c r="F38"/>
  <c r="I37"/>
  <c r="E37"/>
  <c r="H36"/>
  <c r="D36"/>
  <c r="G35"/>
  <c r="J34"/>
  <c r="F34"/>
  <c r="I33"/>
  <c r="E33"/>
  <c r="H32"/>
  <c r="D32"/>
  <c r="G31"/>
  <c r="J30"/>
  <c r="F30"/>
  <c r="I29"/>
  <c r="E29"/>
  <c r="H28"/>
  <c r="D28"/>
  <c r="G27"/>
  <c r="J26"/>
  <c r="F26"/>
  <c r="I25"/>
  <c r="E25"/>
  <c r="H24"/>
  <c r="D24"/>
  <c r="G23"/>
  <c r="J22"/>
  <c r="F22"/>
  <c r="I21"/>
  <c r="E21"/>
  <c r="H20"/>
  <c r="D20"/>
  <c r="G19"/>
  <c r="J18"/>
  <c r="F18"/>
  <c r="I17"/>
  <c r="E17"/>
  <c r="I16"/>
  <c r="E16"/>
  <c r="H15"/>
  <c r="D15"/>
  <c r="G14"/>
  <c r="J13"/>
  <c r="F13"/>
  <c r="I12"/>
  <c r="E12"/>
  <c r="H11"/>
  <c r="D11"/>
  <c r="G10"/>
  <c r="J9"/>
  <c r="F9"/>
  <c r="I8"/>
  <c r="E8"/>
  <c r="H7"/>
  <c r="D7"/>
  <c r="G6"/>
  <c r="J5"/>
  <c r="F5"/>
  <c r="K57" i="17"/>
  <c r="G57"/>
  <c r="K56"/>
  <c r="G56"/>
  <c r="K55"/>
  <c r="G55"/>
  <c r="K54"/>
  <c r="G54"/>
  <c r="K53"/>
  <c r="G53"/>
  <c r="K52"/>
  <c r="G52"/>
  <c r="J51"/>
  <c r="F51"/>
  <c r="I50"/>
  <c r="E50"/>
  <c r="L49"/>
  <c r="H49"/>
  <c r="D49"/>
  <c r="K48"/>
  <c r="G48"/>
  <c r="J47"/>
  <c r="F47"/>
  <c r="I46"/>
  <c r="E46"/>
  <c r="L45"/>
  <c r="H45"/>
  <c r="D45"/>
  <c r="L37"/>
  <c r="H37"/>
  <c r="D37"/>
  <c r="L36"/>
  <c r="H36"/>
  <c r="D36"/>
  <c r="L35"/>
  <c r="H35"/>
  <c r="D35"/>
  <c r="L34"/>
  <c r="H34"/>
  <c r="D34"/>
  <c r="L33"/>
  <c r="H33"/>
  <c r="D33"/>
  <c r="L32"/>
  <c r="H32"/>
  <c r="D32"/>
  <c r="K31"/>
  <c r="G31"/>
  <c r="J30"/>
  <c r="F30"/>
  <c r="I29"/>
  <c r="E29"/>
  <c r="AK16" i="27"/>
  <c r="AC16"/>
  <c r="U16"/>
  <c r="M16"/>
  <c r="E16"/>
  <c r="AQ15"/>
  <c r="AI15"/>
  <c r="AA15"/>
  <c r="K15"/>
  <c r="C15"/>
  <c r="AO14"/>
  <c r="AG14"/>
  <c r="Y14"/>
  <c r="Q14"/>
  <c r="I14"/>
  <c r="AU13"/>
  <c r="AM13"/>
  <c r="AE13"/>
  <c r="W13"/>
  <c r="O13"/>
  <c r="G13"/>
  <c r="AK12"/>
  <c r="AC12"/>
  <c r="U12"/>
  <c r="M12"/>
  <c r="E12"/>
  <c r="AQ11"/>
  <c r="AI11"/>
  <c r="AA11"/>
  <c r="K11"/>
  <c r="C11"/>
  <c r="AO10"/>
  <c r="AG10"/>
  <c r="Y10"/>
  <c r="Q10"/>
  <c r="I10"/>
  <c r="AU9"/>
  <c r="AM9"/>
  <c r="AE9"/>
  <c r="W9"/>
  <c r="O9"/>
  <c r="G9"/>
  <c r="AK8"/>
  <c r="AC8"/>
  <c r="U8"/>
  <c r="M8"/>
  <c r="E8"/>
  <c r="AQ7"/>
  <c r="AI7"/>
  <c r="AA7"/>
  <c r="K7"/>
  <c r="C7"/>
  <c r="C287" i="26"/>
  <c r="C285"/>
  <c r="C283"/>
  <c r="E281"/>
  <c r="D278"/>
  <c r="C264"/>
  <c r="E262"/>
  <c r="D259"/>
  <c r="E250"/>
  <c r="E248"/>
  <c r="C245"/>
  <c r="E243"/>
  <c r="D240"/>
  <c r="D233"/>
  <c r="D231"/>
  <c r="D229"/>
  <c r="C226"/>
  <c r="E224"/>
  <c r="C223"/>
  <c r="C222"/>
  <c r="C215"/>
  <c r="C214"/>
  <c r="C213"/>
  <c r="C212"/>
  <c r="C211"/>
  <c r="D210"/>
  <c r="E209"/>
  <c r="C207"/>
  <c r="D206"/>
  <c r="E205"/>
  <c r="C192"/>
  <c r="D191"/>
  <c r="E190"/>
  <c r="C188"/>
  <c r="D187"/>
  <c r="E186"/>
  <c r="E179"/>
  <c r="E178"/>
  <c r="E177"/>
  <c r="E176"/>
  <c r="E175"/>
  <c r="C173"/>
  <c r="D172"/>
  <c r="E171"/>
  <c r="C169"/>
  <c r="D168"/>
  <c r="D161"/>
  <c r="D160"/>
  <c r="D159"/>
  <c r="D158"/>
  <c r="D157"/>
  <c r="E156"/>
  <c r="C154"/>
  <c r="D153"/>
  <c r="E152"/>
  <c r="C150"/>
  <c r="C143"/>
  <c r="C142"/>
  <c r="C141"/>
  <c r="C140"/>
  <c r="C139"/>
  <c r="D138"/>
  <c r="E137"/>
  <c r="C135"/>
  <c r="D134"/>
  <c r="E133"/>
  <c r="C120"/>
  <c r="D119"/>
  <c r="E118"/>
  <c r="C116"/>
  <c r="D115"/>
  <c r="E114"/>
  <c r="E107"/>
  <c r="E106"/>
  <c r="E105"/>
  <c r="E104"/>
  <c r="E103"/>
  <c r="C101"/>
  <c r="D100"/>
  <c r="E99"/>
  <c r="C97"/>
  <c r="D96"/>
  <c r="D89"/>
  <c r="D88"/>
  <c r="D87"/>
  <c r="D86"/>
  <c r="D85"/>
  <c r="E84"/>
  <c r="C82"/>
  <c r="D81"/>
  <c r="E80"/>
  <c r="C78"/>
  <c r="C71"/>
  <c r="C70"/>
  <c r="C69"/>
  <c r="C68"/>
  <c r="C67"/>
  <c r="D66"/>
  <c r="E65"/>
  <c r="C63"/>
  <c r="D62"/>
  <c r="E61"/>
  <c r="C48"/>
  <c r="D47"/>
  <c r="E46"/>
  <c r="C44"/>
  <c r="D43"/>
  <c r="E42"/>
  <c r="E35"/>
  <c r="E34"/>
  <c r="E33"/>
  <c r="E32"/>
  <c r="E31"/>
  <c r="C29"/>
  <c r="D28"/>
  <c r="E27"/>
  <c r="C25"/>
  <c r="D24"/>
  <c r="D17"/>
  <c r="D16"/>
  <c r="D15"/>
  <c r="D14"/>
  <c r="D13"/>
  <c r="E12"/>
  <c r="C10"/>
  <c r="D9"/>
  <c r="E8"/>
  <c r="C6"/>
  <c r="H38" i="24"/>
  <c r="D38"/>
  <c r="G37"/>
  <c r="J36"/>
  <c r="F36"/>
  <c r="I35"/>
  <c r="E35"/>
  <c r="H34"/>
  <c r="D34"/>
  <c r="G33"/>
  <c r="J32"/>
  <c r="F32"/>
  <c r="I31"/>
  <c r="E31"/>
  <c r="H30"/>
  <c r="D30"/>
  <c r="G29"/>
  <c r="J28"/>
  <c r="F28"/>
  <c r="I27"/>
  <c r="E27"/>
  <c r="H26"/>
  <c r="D26"/>
  <c r="G18"/>
  <c r="J17"/>
  <c r="F17"/>
  <c r="I16"/>
  <c r="E16"/>
  <c r="H15"/>
  <c r="D15"/>
  <c r="G14"/>
  <c r="J13"/>
  <c r="F13"/>
  <c r="I12"/>
  <c r="E12"/>
  <c r="H11"/>
  <c r="D11"/>
  <c r="G10"/>
  <c r="J9"/>
  <c r="F9"/>
  <c r="I8"/>
  <c r="E8"/>
  <c r="H7"/>
  <c r="D7"/>
  <c r="G6"/>
  <c r="J69" i="19"/>
  <c r="F69"/>
  <c r="I68"/>
  <c r="E68"/>
  <c r="H67"/>
  <c r="D67"/>
  <c r="G66"/>
  <c r="J65"/>
  <c r="F65"/>
  <c r="I64"/>
  <c r="E64"/>
  <c r="H63"/>
  <c r="D63"/>
  <c r="G62"/>
  <c r="J61"/>
  <c r="F61"/>
  <c r="I60"/>
  <c r="E60"/>
  <c r="H59"/>
  <c r="D59"/>
  <c r="G58"/>
  <c r="J57"/>
  <c r="F57"/>
  <c r="I56"/>
  <c r="E56"/>
  <c r="H55"/>
  <c r="D55"/>
  <c r="G54"/>
  <c r="J53"/>
  <c r="F53"/>
  <c r="I52"/>
  <c r="E52"/>
  <c r="H51"/>
  <c r="D51"/>
  <c r="G50"/>
  <c r="J49"/>
  <c r="F49"/>
  <c r="I48"/>
  <c r="E48"/>
  <c r="H47"/>
  <c r="D47"/>
  <c r="G46"/>
  <c r="J45"/>
  <c r="F45"/>
  <c r="I44"/>
  <c r="E44"/>
  <c r="H43"/>
  <c r="D43"/>
  <c r="G42"/>
  <c r="J41"/>
  <c r="F41"/>
  <c r="I40"/>
  <c r="E40"/>
  <c r="H39"/>
  <c r="D39"/>
  <c r="G38"/>
  <c r="J37"/>
  <c r="F37"/>
  <c r="I36"/>
  <c r="E36"/>
  <c r="H35"/>
  <c r="D35"/>
  <c r="G34"/>
  <c r="J33"/>
  <c r="F33"/>
  <c r="I32"/>
  <c r="E32"/>
  <c r="H31"/>
  <c r="D31"/>
  <c r="G30"/>
  <c r="J29"/>
  <c r="F29"/>
  <c r="I28"/>
  <c r="E28"/>
  <c r="H27"/>
  <c r="D27"/>
  <c r="G26"/>
  <c r="J25"/>
  <c r="F25"/>
  <c r="I24"/>
  <c r="E24"/>
  <c r="H23"/>
  <c r="D23"/>
  <c r="G22"/>
  <c r="J21"/>
  <c r="F21"/>
  <c r="I20"/>
  <c r="E20"/>
  <c r="H19"/>
  <c r="D19"/>
  <c r="G18"/>
  <c r="J17"/>
  <c r="F17"/>
  <c r="J16"/>
  <c r="F16"/>
  <c r="I15"/>
  <c r="E15"/>
  <c r="H14"/>
  <c r="D14"/>
  <c r="G13"/>
  <c r="J12"/>
  <c r="F12"/>
  <c r="I11"/>
  <c r="E11"/>
  <c r="H10"/>
  <c r="D10"/>
  <c r="G9"/>
  <c r="J8"/>
  <c r="F8"/>
  <c r="I7"/>
  <c r="E7"/>
  <c r="H6"/>
  <c r="D6"/>
  <c r="G5"/>
  <c r="L57" i="17"/>
  <c r="H57"/>
  <c r="D57"/>
  <c r="L56"/>
  <c r="H56"/>
  <c r="D56"/>
  <c r="L55"/>
  <c r="H55"/>
  <c r="D55"/>
  <c r="L54"/>
  <c r="H54"/>
  <c r="D54"/>
  <c r="L53"/>
  <c r="H53"/>
  <c r="D53"/>
  <c r="L52"/>
  <c r="H52"/>
  <c r="D52"/>
  <c r="K51"/>
  <c r="G51"/>
  <c r="J50"/>
  <c r="F50"/>
  <c r="I49"/>
  <c r="E49"/>
  <c r="L48"/>
  <c r="H48"/>
  <c r="D48"/>
  <c r="K47"/>
  <c r="G47"/>
  <c r="J46"/>
  <c r="F46"/>
  <c r="I45"/>
  <c r="E45"/>
  <c r="I37"/>
  <c r="E37"/>
  <c r="I36"/>
  <c r="E36"/>
  <c r="I35"/>
  <c r="E35"/>
  <c r="I34"/>
  <c r="E34"/>
  <c r="I33"/>
  <c r="E33"/>
  <c r="I32"/>
  <c r="E32"/>
  <c r="L31"/>
  <c r="H31"/>
  <c r="D31"/>
  <c r="K30"/>
  <c r="G30"/>
  <c r="J29"/>
  <c r="F29"/>
  <c r="I28"/>
  <c r="E28"/>
  <c r="L27"/>
  <c r="H27"/>
  <c r="D27"/>
  <c r="K26"/>
  <c r="G26"/>
  <c r="J25"/>
  <c r="F25"/>
  <c r="J18"/>
  <c r="F18"/>
  <c r="J17"/>
  <c r="F17"/>
  <c r="J16"/>
  <c r="F16"/>
  <c r="J15"/>
  <c r="F15"/>
  <c r="J14"/>
  <c r="F14"/>
  <c r="J13"/>
  <c r="F13"/>
  <c r="I12"/>
  <c r="E12"/>
  <c r="L11"/>
  <c r="H11"/>
  <c r="D11"/>
  <c r="K10"/>
  <c r="G10"/>
  <c r="J9"/>
  <c r="F9"/>
  <c r="I8"/>
  <c r="E8"/>
  <c r="L7"/>
  <c r="H7"/>
  <c r="D7"/>
  <c r="K6"/>
  <c r="G6"/>
  <c r="F53" i="15"/>
  <c r="D52"/>
  <c r="F51"/>
  <c r="D50"/>
  <c r="F49"/>
  <c r="E48"/>
  <c r="D47"/>
  <c r="G46"/>
  <c r="F45"/>
  <c r="E44"/>
  <c r="D43"/>
  <c r="G42"/>
  <c r="G34"/>
  <c r="E33"/>
  <c r="G32"/>
  <c r="E31"/>
  <c r="G30"/>
  <c r="F29"/>
  <c r="E28"/>
  <c r="D27"/>
  <c r="G26"/>
  <c r="F25"/>
  <c r="E24"/>
  <c r="D23"/>
  <c r="F17"/>
  <c r="D16"/>
  <c r="F15"/>
  <c r="D14"/>
  <c r="F13"/>
  <c r="D12"/>
  <c r="G11"/>
  <c r="F10"/>
  <c r="E9"/>
  <c r="D8"/>
  <c r="G7"/>
  <c r="F6"/>
  <c r="E5"/>
  <c r="AM16" i="27"/>
  <c r="AE16"/>
  <c r="W16"/>
  <c r="O16"/>
  <c r="G16"/>
  <c r="AK15"/>
  <c r="AC15"/>
  <c r="U15"/>
  <c r="M15"/>
  <c r="E15"/>
  <c r="AQ14"/>
  <c r="AI14"/>
  <c r="AA14"/>
  <c r="K14"/>
  <c r="C14"/>
  <c r="AO13"/>
  <c r="AG13"/>
  <c r="Y13"/>
  <c r="Q13"/>
  <c r="I13"/>
  <c r="AU12"/>
  <c r="AM12"/>
  <c r="AE12"/>
  <c r="W12"/>
  <c r="O12"/>
  <c r="G12"/>
  <c r="AK11"/>
  <c r="AC11"/>
  <c r="U11"/>
  <c r="M11"/>
  <c r="E11"/>
  <c r="AQ10"/>
  <c r="AI10"/>
  <c r="AA10"/>
  <c r="K10"/>
  <c r="C10"/>
  <c r="AO9"/>
  <c r="AG9"/>
  <c r="Y9"/>
  <c r="Q9"/>
  <c r="I9"/>
  <c r="AU8"/>
  <c r="AM8"/>
  <c r="AE8"/>
  <c r="W8"/>
  <c r="O8"/>
  <c r="G8"/>
  <c r="AK7"/>
  <c r="AC7"/>
  <c r="U7"/>
  <c r="M7"/>
  <c r="E7"/>
  <c r="E287" i="26"/>
  <c r="E285"/>
  <c r="E283"/>
  <c r="D280"/>
  <c r="C277"/>
  <c r="D268"/>
  <c r="D266"/>
  <c r="E264"/>
  <c r="D261"/>
  <c r="C258"/>
  <c r="C251"/>
  <c r="C249"/>
  <c r="C247"/>
  <c r="E245"/>
  <c r="D242"/>
  <c r="C228"/>
  <c r="E226"/>
  <c r="D223"/>
  <c r="D222"/>
  <c r="D215"/>
  <c r="D214"/>
  <c r="D213"/>
  <c r="D212"/>
  <c r="D211"/>
  <c r="E210"/>
  <c r="C208"/>
  <c r="D207"/>
  <c r="E206"/>
  <c r="C204"/>
  <c r="C197"/>
  <c r="C196"/>
  <c r="C195"/>
  <c r="C194"/>
  <c r="C193"/>
  <c r="D192"/>
  <c r="E191"/>
  <c r="C189"/>
  <c r="D188"/>
  <c r="E187"/>
  <c r="C174"/>
  <c r="D173"/>
  <c r="E172"/>
  <c r="C170"/>
  <c r="D169"/>
  <c r="E168"/>
  <c r="E161"/>
  <c r="E160"/>
  <c r="E159"/>
  <c r="E158"/>
  <c r="E157"/>
  <c r="C155"/>
  <c r="D154"/>
  <c r="E153"/>
  <c r="C151"/>
  <c r="D150"/>
  <c r="D143"/>
  <c r="D142"/>
  <c r="D141"/>
  <c r="D140"/>
  <c r="D139"/>
  <c r="E138"/>
  <c r="C136"/>
  <c r="D135"/>
  <c r="E134"/>
  <c r="C132"/>
  <c r="C125"/>
  <c r="C124"/>
  <c r="C123"/>
  <c r="C122"/>
  <c r="C121"/>
  <c r="D120"/>
  <c r="E119"/>
  <c r="C117"/>
  <c r="D116"/>
  <c r="E115"/>
  <c r="C102"/>
  <c r="D101"/>
  <c r="E100"/>
  <c r="C98"/>
  <c r="D97"/>
  <c r="E96"/>
  <c r="E89"/>
  <c r="E88"/>
  <c r="E87"/>
  <c r="E86"/>
  <c r="E85"/>
  <c r="C83"/>
  <c r="D82"/>
  <c r="E81"/>
  <c r="C79"/>
  <c r="D78"/>
  <c r="D71"/>
  <c r="D70"/>
  <c r="D69"/>
  <c r="D68"/>
  <c r="D67"/>
  <c r="E66"/>
  <c r="C64"/>
  <c r="D63"/>
  <c r="E62"/>
  <c r="C60"/>
  <c r="C53"/>
  <c r="C52"/>
  <c r="C51"/>
  <c r="C50"/>
  <c r="C49"/>
  <c r="D48"/>
  <c r="E47"/>
  <c r="C45"/>
  <c r="D44"/>
  <c r="E43"/>
  <c r="C30"/>
  <c r="D29"/>
  <c r="E28"/>
  <c r="C26"/>
  <c r="D25"/>
  <c r="E24"/>
  <c r="E17"/>
  <c r="E16"/>
  <c r="E15"/>
  <c r="E14"/>
  <c r="E13"/>
  <c r="C11"/>
  <c r="D10"/>
  <c r="E9"/>
  <c r="C7"/>
  <c r="D6"/>
  <c r="I38" i="24"/>
  <c r="E38"/>
  <c r="H37"/>
  <c r="D37"/>
  <c r="G36"/>
  <c r="J35"/>
  <c r="F35"/>
  <c r="I34"/>
  <c r="E34"/>
  <c r="H33"/>
  <c r="D33"/>
  <c r="G32"/>
  <c r="J31"/>
  <c r="F31"/>
  <c r="I30"/>
  <c r="E30"/>
  <c r="H29"/>
  <c r="D29"/>
  <c r="G28"/>
  <c r="J27"/>
  <c r="F27"/>
  <c r="I26"/>
  <c r="E26"/>
  <c r="H18"/>
  <c r="D18"/>
  <c r="G17"/>
  <c r="J16"/>
  <c r="F16"/>
  <c r="I15"/>
  <c r="E15"/>
  <c r="H14"/>
  <c r="D14"/>
  <c r="G13"/>
  <c r="J12"/>
  <c r="F12"/>
  <c r="I11"/>
  <c r="E11"/>
  <c r="H10"/>
  <c r="D10"/>
  <c r="G9"/>
  <c r="J8"/>
  <c r="F8"/>
  <c r="I7"/>
  <c r="E7"/>
  <c r="H6"/>
  <c r="D6"/>
  <c r="G69" i="19"/>
  <c r="J68"/>
  <c r="F68"/>
  <c r="I67"/>
  <c r="E67"/>
  <c r="H66"/>
  <c r="D66"/>
  <c r="G65"/>
  <c r="J64"/>
  <c r="F64"/>
  <c r="I63"/>
  <c r="E63"/>
  <c r="H62"/>
  <c r="D62"/>
  <c r="G61"/>
  <c r="J60"/>
  <c r="F60"/>
  <c r="I59"/>
  <c r="E59"/>
  <c r="H58"/>
  <c r="D58"/>
  <c r="G57"/>
  <c r="J56"/>
  <c r="F56"/>
  <c r="I55"/>
  <c r="E55"/>
  <c r="H54"/>
  <c r="D54"/>
  <c r="G53"/>
  <c r="J52"/>
  <c r="F52"/>
  <c r="I51"/>
  <c r="E51"/>
  <c r="H50"/>
  <c r="D50"/>
  <c r="G49"/>
  <c r="J48"/>
  <c r="F48"/>
  <c r="I47"/>
  <c r="E47"/>
  <c r="H46"/>
  <c r="D46"/>
  <c r="G45"/>
  <c r="J44"/>
  <c r="F44"/>
  <c r="I43"/>
  <c r="E43"/>
  <c r="H42"/>
  <c r="D42"/>
  <c r="G41"/>
  <c r="J40"/>
  <c r="F40"/>
  <c r="I39"/>
  <c r="E39"/>
  <c r="H38"/>
  <c r="D38"/>
  <c r="G37"/>
  <c r="J36"/>
  <c r="F36"/>
  <c r="I35"/>
  <c r="E35"/>
  <c r="H34"/>
  <c r="D34"/>
  <c r="G33"/>
  <c r="J32"/>
  <c r="F32"/>
  <c r="I31"/>
  <c r="E31"/>
  <c r="H30"/>
  <c r="D30"/>
  <c r="G29"/>
  <c r="J28"/>
  <c r="F28"/>
  <c r="I27"/>
  <c r="E27"/>
  <c r="H26"/>
  <c r="D26"/>
  <c r="G25"/>
  <c r="J24"/>
  <c r="F24"/>
  <c r="I23"/>
  <c r="E23"/>
  <c r="H22"/>
  <c r="D22"/>
  <c r="G21"/>
  <c r="J20"/>
  <c r="F20"/>
  <c r="I19"/>
  <c r="E19"/>
  <c r="H18"/>
  <c r="D18"/>
  <c r="G17"/>
  <c r="G16"/>
  <c r="J15"/>
  <c r="F15"/>
  <c r="I14"/>
  <c r="E14"/>
  <c r="H13"/>
  <c r="D13"/>
  <c r="G12"/>
  <c r="J11"/>
  <c r="F11"/>
  <c r="I10"/>
  <c r="E10"/>
  <c r="H9"/>
  <c r="D9"/>
  <c r="G8"/>
  <c r="J7"/>
  <c r="F7"/>
  <c r="I6"/>
  <c r="E6"/>
  <c r="H5"/>
  <c r="D5"/>
  <c r="I57" i="17"/>
  <c r="E57"/>
  <c r="I56"/>
  <c r="E56"/>
  <c r="I55"/>
  <c r="E55"/>
  <c r="I54"/>
  <c r="E54"/>
  <c r="I53"/>
  <c r="E53"/>
  <c r="I52"/>
  <c r="E52"/>
  <c r="L51"/>
  <c r="H51"/>
  <c r="D51"/>
  <c r="K50"/>
  <c r="G50"/>
  <c r="J49"/>
  <c r="F49"/>
  <c r="I48"/>
  <c r="E48"/>
  <c r="L47"/>
  <c r="H47"/>
  <c r="D47"/>
  <c r="K46"/>
  <c r="G46"/>
  <c r="J45"/>
  <c r="F45"/>
  <c r="J37"/>
  <c r="F37"/>
  <c r="J36"/>
  <c r="F36"/>
  <c r="J35"/>
  <c r="F35"/>
  <c r="J34"/>
  <c r="F34"/>
  <c r="J33"/>
  <c r="F33"/>
  <c r="J32"/>
  <c r="F32"/>
  <c r="I31"/>
  <c r="E31"/>
  <c r="L30"/>
  <c r="H30"/>
  <c r="D30"/>
  <c r="K29"/>
  <c r="G29"/>
  <c r="J28"/>
  <c r="F28"/>
  <c r="I27"/>
  <c r="E27"/>
  <c r="L26"/>
  <c r="H26"/>
  <c r="D26"/>
  <c r="K25"/>
  <c r="G25"/>
  <c r="K18"/>
  <c r="G18"/>
  <c r="K17"/>
  <c r="G17"/>
  <c r="K16"/>
  <c r="G16"/>
  <c r="K15"/>
  <c r="G15"/>
  <c r="K14"/>
  <c r="G14"/>
  <c r="K13"/>
  <c r="G13"/>
  <c r="J12"/>
  <c r="F12"/>
  <c r="I11"/>
  <c r="E11"/>
  <c r="L10"/>
  <c r="H10"/>
  <c r="D10"/>
  <c r="K9"/>
  <c r="G9"/>
  <c r="J8"/>
  <c r="F8"/>
  <c r="I7"/>
  <c r="E7"/>
  <c r="L6"/>
  <c r="H6"/>
  <c r="D6"/>
  <c r="G53" i="15"/>
  <c r="E52"/>
  <c r="G51"/>
  <c r="E50"/>
  <c r="G49"/>
  <c r="F48"/>
  <c r="E47"/>
  <c r="D46"/>
  <c r="G45"/>
  <c r="F44"/>
  <c r="E43"/>
  <c r="D42"/>
  <c r="D34"/>
  <c r="F33"/>
  <c r="D32"/>
  <c r="F31"/>
  <c r="D30"/>
  <c r="G29"/>
  <c r="F28"/>
  <c r="E27"/>
  <c r="D26"/>
  <c r="G25"/>
  <c r="F24"/>
  <c r="E23"/>
  <c r="G17"/>
  <c r="E16"/>
  <c r="G15"/>
  <c r="E14"/>
  <c r="G13"/>
  <c r="E12"/>
  <c r="D11"/>
  <c r="G10"/>
  <c r="F9"/>
  <c r="E8"/>
  <c r="D7"/>
  <c r="G6"/>
  <c r="F5"/>
  <c r="H28" i="17"/>
  <c r="G27"/>
  <c r="F26"/>
  <c r="E25"/>
  <c r="I18"/>
  <c r="E17"/>
  <c r="I16"/>
  <c r="E15"/>
  <c r="I14"/>
  <c r="E13"/>
  <c r="L12"/>
  <c r="D12"/>
  <c r="K11"/>
  <c r="J10"/>
  <c r="I9"/>
  <c r="H8"/>
  <c r="G7"/>
  <c r="F6"/>
  <c r="G52" i="15"/>
  <c r="E51"/>
  <c r="G47"/>
  <c r="F46"/>
  <c r="E45"/>
  <c r="D44"/>
  <c r="F34"/>
  <c r="D33"/>
  <c r="F30"/>
  <c r="E29"/>
  <c r="D28"/>
  <c r="G23"/>
  <c r="E17"/>
  <c r="G14"/>
  <c r="E13"/>
  <c r="G8"/>
  <c r="F7"/>
  <c r="E6"/>
  <c r="D5"/>
  <c r="K71" i="13"/>
  <c r="G71"/>
  <c r="L70"/>
  <c r="H70"/>
  <c r="D70"/>
  <c r="I69"/>
  <c r="E69"/>
  <c r="J68"/>
  <c r="F68"/>
  <c r="K67"/>
  <c r="G67"/>
  <c r="L66"/>
  <c r="H66"/>
  <c r="D66"/>
  <c r="I65"/>
  <c r="E65"/>
  <c r="J64"/>
  <c r="F64"/>
  <c r="K63"/>
  <c r="G63"/>
  <c r="L62"/>
  <c r="H62"/>
  <c r="D62"/>
  <c r="I61"/>
  <c r="E61"/>
  <c r="J60"/>
  <c r="F60"/>
  <c r="K59"/>
  <c r="G59"/>
  <c r="L58"/>
  <c r="H58"/>
  <c r="D58"/>
  <c r="I57"/>
  <c r="E57"/>
  <c r="J56"/>
  <c r="F56"/>
  <c r="K55"/>
  <c r="G55"/>
  <c r="L54"/>
  <c r="H54"/>
  <c r="D54"/>
  <c r="I53"/>
  <c r="E53"/>
  <c r="J52"/>
  <c r="F52"/>
  <c r="K51"/>
  <c r="G51"/>
  <c r="L50"/>
  <c r="H50"/>
  <c r="D50"/>
  <c r="I49"/>
  <c r="E49"/>
  <c r="J48"/>
  <c r="F48"/>
  <c r="K47"/>
  <c r="G47"/>
  <c r="L46"/>
  <c r="H46"/>
  <c r="D46"/>
  <c r="I45"/>
  <c r="E45"/>
  <c r="J44"/>
  <c r="F44"/>
  <c r="K43"/>
  <c r="G43"/>
  <c r="L42"/>
  <c r="H42"/>
  <c r="D42"/>
  <c r="I41"/>
  <c r="E41"/>
  <c r="J40"/>
  <c r="F40"/>
  <c r="K39"/>
  <c r="G39"/>
  <c r="L38"/>
  <c r="H38"/>
  <c r="D38"/>
  <c r="I37"/>
  <c r="E37"/>
  <c r="J36"/>
  <c r="F36"/>
  <c r="K35"/>
  <c r="G35"/>
  <c r="L34"/>
  <c r="H34"/>
  <c r="D34"/>
  <c r="I33"/>
  <c r="E33"/>
  <c r="J32"/>
  <c r="F32"/>
  <c r="K31"/>
  <c r="G31"/>
  <c r="L30"/>
  <c r="H30"/>
  <c r="D30"/>
  <c r="I29"/>
  <c r="E29"/>
  <c r="J28"/>
  <c r="F28"/>
  <c r="K27"/>
  <c r="G27"/>
  <c r="L26"/>
  <c r="H26"/>
  <c r="D26"/>
  <c r="I25"/>
  <c r="E25"/>
  <c r="J24"/>
  <c r="F24"/>
  <c r="K23"/>
  <c r="G23"/>
  <c r="L22"/>
  <c r="H22"/>
  <c r="D22"/>
  <c r="I21"/>
  <c r="E21"/>
  <c r="J20"/>
  <c r="F20"/>
  <c r="K19"/>
  <c r="G19"/>
  <c r="L18"/>
  <c r="H18"/>
  <c r="D18"/>
  <c r="J17"/>
  <c r="F17"/>
  <c r="K16"/>
  <c r="G16"/>
  <c r="L15"/>
  <c r="H15"/>
  <c r="D15"/>
  <c r="I14"/>
  <c r="E14"/>
  <c r="J13"/>
  <c r="F13"/>
  <c r="K12"/>
  <c r="G12"/>
  <c r="L11"/>
  <c r="H11"/>
  <c r="D11"/>
  <c r="I10"/>
  <c r="E10"/>
  <c r="J9"/>
  <c r="F9"/>
  <c r="K8"/>
  <c r="G8"/>
  <c r="L7"/>
  <c r="H7"/>
  <c r="D7"/>
  <c r="I6"/>
  <c r="E6"/>
  <c r="F16" i="11"/>
  <c r="D14"/>
  <c r="F11"/>
  <c r="D8"/>
  <c r="F6"/>
  <c r="G23" i="9"/>
  <c r="G22"/>
  <c r="G21"/>
  <c r="G20"/>
  <c r="G19"/>
  <c r="F11"/>
  <c r="F10"/>
  <c r="F9"/>
  <c r="F8"/>
  <c r="F7"/>
  <c r="F6"/>
  <c r="F5"/>
  <c r="E37" i="8"/>
  <c r="D36"/>
  <c r="F34"/>
  <c r="E33"/>
  <c r="D32"/>
  <c r="F30"/>
  <c r="E29"/>
  <c r="D28"/>
  <c r="F26"/>
  <c r="E25"/>
  <c r="D18"/>
  <c r="F16"/>
  <c r="E15"/>
  <c r="D14"/>
  <c r="F12"/>
  <c r="E11"/>
  <c r="D10"/>
  <c r="F8"/>
  <c r="E7"/>
  <c r="D6"/>
  <c r="D38" i="5"/>
  <c r="K28" i="17"/>
  <c r="J27"/>
  <c r="I26"/>
  <c r="H25"/>
  <c r="L18"/>
  <c r="D18"/>
  <c r="H17"/>
  <c r="L16"/>
  <c r="D16"/>
  <c r="H15"/>
  <c r="L14"/>
  <c r="D14"/>
  <c r="H13"/>
  <c r="G12"/>
  <c r="F11"/>
  <c r="E10"/>
  <c r="L9"/>
  <c r="D9"/>
  <c r="K8"/>
  <c r="J7"/>
  <c r="I6"/>
  <c r="D53" i="15"/>
  <c r="F50"/>
  <c r="D49"/>
  <c r="G44"/>
  <c r="F43"/>
  <c r="E42"/>
  <c r="G33"/>
  <c r="E32"/>
  <c r="G28"/>
  <c r="F27"/>
  <c r="E26"/>
  <c r="D25"/>
  <c r="F16"/>
  <c r="D15"/>
  <c r="F12"/>
  <c r="E11"/>
  <c r="D10"/>
  <c r="G5"/>
  <c r="L71" i="13"/>
  <c r="H71"/>
  <c r="D71"/>
  <c r="I70"/>
  <c r="E70"/>
  <c r="J69"/>
  <c r="F69"/>
  <c r="K68"/>
  <c r="G68"/>
  <c r="L67"/>
  <c r="H67"/>
  <c r="D67"/>
  <c r="I66"/>
  <c r="E66"/>
  <c r="J65"/>
  <c r="F65"/>
  <c r="K64"/>
  <c r="G64"/>
  <c r="L63"/>
  <c r="H63"/>
  <c r="D63"/>
  <c r="I62"/>
  <c r="E62"/>
  <c r="J61"/>
  <c r="F61"/>
  <c r="K60"/>
  <c r="G60"/>
  <c r="L59"/>
  <c r="H59"/>
  <c r="D59"/>
  <c r="I58"/>
  <c r="E58"/>
  <c r="J57"/>
  <c r="F57"/>
  <c r="K56"/>
  <c r="G56"/>
  <c r="L55"/>
  <c r="H55"/>
  <c r="D55"/>
  <c r="I54"/>
  <c r="E54"/>
  <c r="J53"/>
  <c r="F53"/>
  <c r="K52"/>
  <c r="G52"/>
  <c r="L51"/>
  <c r="H51"/>
  <c r="D51"/>
  <c r="I50"/>
  <c r="E50"/>
  <c r="J49"/>
  <c r="F49"/>
  <c r="K48"/>
  <c r="G48"/>
  <c r="L47"/>
  <c r="H47"/>
  <c r="D47"/>
  <c r="I46"/>
  <c r="E46"/>
  <c r="J45"/>
  <c r="F45"/>
  <c r="K44"/>
  <c r="G44"/>
  <c r="L43"/>
  <c r="H43"/>
  <c r="D43"/>
  <c r="I42"/>
  <c r="E42"/>
  <c r="J41"/>
  <c r="F41"/>
  <c r="K40"/>
  <c r="G40"/>
  <c r="L39"/>
  <c r="H39"/>
  <c r="D39"/>
  <c r="I38"/>
  <c r="E38"/>
  <c r="J37"/>
  <c r="F37"/>
  <c r="K36"/>
  <c r="G36"/>
  <c r="L35"/>
  <c r="H35"/>
  <c r="D35"/>
  <c r="I34"/>
  <c r="E34"/>
  <c r="J33"/>
  <c r="F33"/>
  <c r="K32"/>
  <c r="G32"/>
  <c r="L31"/>
  <c r="H31"/>
  <c r="D31"/>
  <c r="I30"/>
  <c r="E30"/>
  <c r="J29"/>
  <c r="F29"/>
  <c r="K28"/>
  <c r="G28"/>
  <c r="L27"/>
  <c r="H27"/>
  <c r="D27"/>
  <c r="I26"/>
  <c r="E26"/>
  <c r="J25"/>
  <c r="F25"/>
  <c r="K24"/>
  <c r="G24"/>
  <c r="L23"/>
  <c r="H23"/>
  <c r="D23"/>
  <c r="I22"/>
  <c r="E22"/>
  <c r="J21"/>
  <c r="F21"/>
  <c r="K20"/>
  <c r="G20"/>
  <c r="L19"/>
  <c r="H19"/>
  <c r="D19"/>
  <c r="I18"/>
  <c r="E18"/>
  <c r="K17"/>
  <c r="G17"/>
  <c r="L16"/>
  <c r="H16"/>
  <c r="D16"/>
  <c r="I15"/>
  <c r="E15"/>
  <c r="J14"/>
  <c r="F14"/>
  <c r="K13"/>
  <c r="G13"/>
  <c r="L12"/>
  <c r="H12"/>
  <c r="D12"/>
  <c r="I11"/>
  <c r="E11"/>
  <c r="J10"/>
  <c r="F10"/>
  <c r="K9"/>
  <c r="G9"/>
  <c r="L8"/>
  <c r="H8"/>
  <c r="D8"/>
  <c r="I7"/>
  <c r="E7"/>
  <c r="J6"/>
  <c r="F6"/>
  <c r="D15" i="11"/>
  <c r="F12"/>
  <c r="D10"/>
  <c r="F7"/>
  <c r="D23" i="9"/>
  <c r="D22"/>
  <c r="D21"/>
  <c r="D20"/>
  <c r="D19"/>
  <c r="G11"/>
  <c r="G10"/>
  <c r="G9"/>
  <c r="G8"/>
  <c r="G7"/>
  <c r="G6"/>
  <c r="G5"/>
  <c r="F37" i="8"/>
  <c r="E36"/>
  <c r="D35"/>
  <c r="F33"/>
  <c r="E32"/>
  <c r="D31"/>
  <c r="F29"/>
  <c r="E28"/>
  <c r="D27"/>
  <c r="F25"/>
  <c r="E18"/>
  <c r="D17"/>
  <c r="F15"/>
  <c r="E14"/>
  <c r="D13"/>
  <c r="F11"/>
  <c r="E10"/>
  <c r="D9"/>
  <c r="F7"/>
  <c r="E6"/>
  <c r="D69" i="5"/>
  <c r="F67"/>
  <c r="E66"/>
  <c r="D65"/>
  <c r="F63"/>
  <c r="E62"/>
  <c r="D61"/>
  <c r="F59"/>
  <c r="E58"/>
  <c r="F55"/>
  <c r="D53"/>
  <c r="D49"/>
  <c r="F43"/>
  <c r="F35"/>
  <c r="F27"/>
  <c r="E18"/>
  <c r="D12"/>
  <c r="L28" i="17"/>
  <c r="D28"/>
  <c r="K27"/>
  <c r="J26"/>
  <c r="I25"/>
  <c r="E18"/>
  <c r="I17"/>
  <c r="E16"/>
  <c r="I15"/>
  <c r="E14"/>
  <c r="I13"/>
  <c r="H12"/>
  <c r="G11"/>
  <c r="F10"/>
  <c r="E9"/>
  <c r="L8"/>
  <c r="D8"/>
  <c r="K7"/>
  <c r="J6"/>
  <c r="E53" i="15"/>
  <c r="G50"/>
  <c r="E49"/>
  <c r="D48"/>
  <c r="G43"/>
  <c r="F42"/>
  <c r="F32"/>
  <c r="D31"/>
  <c r="G27"/>
  <c r="F26"/>
  <c r="E25"/>
  <c r="D24"/>
  <c r="G16"/>
  <c r="E15"/>
  <c r="G12"/>
  <c r="F11"/>
  <c r="E10"/>
  <c r="D9"/>
  <c r="I71" i="13"/>
  <c r="E71"/>
  <c r="J70"/>
  <c r="F70"/>
  <c r="K69"/>
  <c r="G69"/>
  <c r="L68"/>
  <c r="H68"/>
  <c r="D68"/>
  <c r="I67"/>
  <c r="E67"/>
  <c r="J66"/>
  <c r="F66"/>
  <c r="K65"/>
  <c r="G65"/>
  <c r="L64"/>
  <c r="H64"/>
  <c r="D64"/>
  <c r="I63"/>
  <c r="E63"/>
  <c r="J62"/>
  <c r="F62"/>
  <c r="K61"/>
  <c r="G61"/>
  <c r="L60"/>
  <c r="H60"/>
  <c r="D60"/>
  <c r="I59"/>
  <c r="E59"/>
  <c r="J58"/>
  <c r="F58"/>
  <c r="K57"/>
  <c r="G57"/>
  <c r="L56"/>
  <c r="H56"/>
  <c r="D56"/>
  <c r="I55"/>
  <c r="E55"/>
  <c r="J54"/>
  <c r="F54"/>
  <c r="K53"/>
  <c r="G53"/>
  <c r="L52"/>
  <c r="H52"/>
  <c r="D52"/>
  <c r="I51"/>
  <c r="E51"/>
  <c r="J50"/>
  <c r="F50"/>
  <c r="K49"/>
  <c r="G49"/>
  <c r="L48"/>
  <c r="H48"/>
  <c r="D48"/>
  <c r="I47"/>
  <c r="E47"/>
  <c r="J46"/>
  <c r="F46"/>
  <c r="K45"/>
  <c r="G45"/>
  <c r="L44"/>
  <c r="H44"/>
  <c r="D44"/>
  <c r="I43"/>
  <c r="E43"/>
  <c r="J42"/>
  <c r="F42"/>
  <c r="K41"/>
  <c r="G41"/>
  <c r="L40"/>
  <c r="H40"/>
  <c r="D40"/>
  <c r="I39"/>
  <c r="E39"/>
  <c r="J38"/>
  <c r="F38"/>
  <c r="K37"/>
  <c r="G37"/>
  <c r="L36"/>
  <c r="H36"/>
  <c r="D36"/>
  <c r="I35"/>
  <c r="E35"/>
  <c r="J34"/>
  <c r="F34"/>
  <c r="K33"/>
  <c r="G33"/>
  <c r="L32"/>
  <c r="H32"/>
  <c r="D32"/>
  <c r="I31"/>
  <c r="E31"/>
  <c r="J30"/>
  <c r="F30"/>
  <c r="K29"/>
  <c r="G29"/>
  <c r="L28"/>
  <c r="H28"/>
  <c r="D28"/>
  <c r="I27"/>
  <c r="E27"/>
  <c r="J26"/>
  <c r="F26"/>
  <c r="K25"/>
  <c r="G25"/>
  <c r="L24"/>
  <c r="H24"/>
  <c r="D24"/>
  <c r="I23"/>
  <c r="E23"/>
  <c r="J22"/>
  <c r="F22"/>
  <c r="K21"/>
  <c r="G21"/>
  <c r="L20"/>
  <c r="H20"/>
  <c r="D20"/>
  <c r="I19"/>
  <c r="E19"/>
  <c r="J18"/>
  <c r="F18"/>
  <c r="L17"/>
  <c r="H17"/>
  <c r="D17"/>
  <c r="I16"/>
  <c r="E16"/>
  <c r="J15"/>
  <c r="F15"/>
  <c r="K14"/>
  <c r="G14"/>
  <c r="L13"/>
  <c r="H13"/>
  <c r="D13"/>
  <c r="I12"/>
  <c r="E12"/>
  <c r="J11"/>
  <c r="F11"/>
  <c r="K10"/>
  <c r="G10"/>
  <c r="L9"/>
  <c r="H9"/>
  <c r="D9"/>
  <c r="I8"/>
  <c r="E8"/>
  <c r="J7"/>
  <c r="F7"/>
  <c r="K6"/>
  <c r="G6"/>
  <c r="D16" i="11"/>
  <c r="F14"/>
  <c r="D11"/>
  <c r="F8"/>
  <c r="D6"/>
  <c r="E23" i="9"/>
  <c r="E22"/>
  <c r="E21"/>
  <c r="E20"/>
  <c r="E19"/>
  <c r="D11"/>
  <c r="D10"/>
  <c r="D9"/>
  <c r="D8"/>
  <c r="D7"/>
  <c r="D6"/>
  <c r="D5"/>
  <c r="F36" i="8"/>
  <c r="E35"/>
  <c r="D34"/>
  <c r="F32"/>
  <c r="E31"/>
  <c r="D30"/>
  <c r="F28"/>
  <c r="E27"/>
  <c r="D26"/>
  <c r="F18"/>
  <c r="E17"/>
  <c r="D16"/>
  <c r="F14"/>
  <c r="E13"/>
  <c r="D12"/>
  <c r="F10"/>
  <c r="E9"/>
  <c r="D8"/>
  <c r="F6"/>
  <c r="E69" i="5"/>
  <c r="D68"/>
  <c r="F66"/>
  <c r="E65"/>
  <c r="D64"/>
  <c r="F62"/>
  <c r="E61"/>
  <c r="D60"/>
  <c r="F58"/>
  <c r="E57"/>
  <c r="D56"/>
  <c r="F54"/>
  <c r="E53"/>
  <c r="D52"/>
  <c r="F50"/>
  <c r="E49"/>
  <c r="D48"/>
  <c r="F46"/>
  <c r="E45"/>
  <c r="D44"/>
  <c r="F42"/>
  <c r="E41"/>
  <c r="D40"/>
  <c r="F38"/>
  <c r="E37"/>
  <c r="D36"/>
  <c r="F34"/>
  <c r="E33"/>
  <c r="D32"/>
  <c r="F30"/>
  <c r="E29"/>
  <c r="D28"/>
  <c r="F26"/>
  <c r="E25"/>
  <c r="D24"/>
  <c r="F22"/>
  <c r="E21"/>
  <c r="D20"/>
  <c r="F18"/>
  <c r="E17"/>
  <c r="E16"/>
  <c r="D15"/>
  <c r="F13"/>
  <c r="E12"/>
  <c r="D11"/>
  <c r="F9"/>
  <c r="E8"/>
  <c r="D7"/>
  <c r="F5"/>
  <c r="D13" i="4"/>
  <c r="E67" i="5"/>
  <c r="F64"/>
  <c r="D62"/>
  <c r="E59"/>
  <c r="D58"/>
  <c r="E55"/>
  <c r="F52"/>
  <c r="D50"/>
  <c r="E47"/>
  <c r="F44"/>
  <c r="D42"/>
  <c r="E39"/>
  <c r="E35"/>
  <c r="F32"/>
  <c r="D30"/>
  <c r="E27"/>
  <c r="F24"/>
  <c r="D22"/>
  <c r="E19"/>
  <c r="F11"/>
  <c r="D9"/>
  <c r="D5"/>
  <c r="F13" i="4"/>
  <c r="D57" i="5"/>
  <c r="F51"/>
  <c r="F47"/>
  <c r="E46"/>
  <c r="E42"/>
  <c r="F39"/>
  <c r="D37"/>
  <c r="D33"/>
  <c r="E30"/>
  <c r="E26"/>
  <c r="F23"/>
  <c r="F19"/>
  <c r="D16"/>
  <c r="F14"/>
  <c r="F10"/>
  <c r="F6"/>
  <c r="F14" i="4"/>
  <c r="D12"/>
  <c r="G28" i="17"/>
  <c r="F27"/>
  <c r="E26"/>
  <c r="L25"/>
  <c r="D25"/>
  <c r="H18"/>
  <c r="L17"/>
  <c r="D17"/>
  <c r="H16"/>
  <c r="L15"/>
  <c r="D15"/>
  <c r="H14"/>
  <c r="L13"/>
  <c r="D13"/>
  <c r="K12"/>
  <c r="J11"/>
  <c r="I10"/>
  <c r="H9"/>
  <c r="G8"/>
  <c r="F7"/>
  <c r="E6"/>
  <c r="F52" i="15"/>
  <c r="D51"/>
  <c r="G48"/>
  <c r="F47"/>
  <c r="E46"/>
  <c r="D45"/>
  <c r="E34"/>
  <c r="G31"/>
  <c r="E30"/>
  <c r="D29"/>
  <c r="G24"/>
  <c r="F23"/>
  <c r="D17"/>
  <c r="F14"/>
  <c r="D13"/>
  <c r="G9"/>
  <c r="F8"/>
  <c r="E7"/>
  <c r="D6"/>
  <c r="J71" i="13"/>
  <c r="F71"/>
  <c r="K70"/>
  <c r="G70"/>
  <c r="L69"/>
  <c r="H69"/>
  <c r="D69"/>
  <c r="I68"/>
  <c r="E68"/>
  <c r="J67"/>
  <c r="F67"/>
  <c r="K66"/>
  <c r="G66"/>
  <c r="L65"/>
  <c r="H65"/>
  <c r="D65"/>
  <c r="I64"/>
  <c r="E64"/>
  <c r="J63"/>
  <c r="F63"/>
  <c r="K62"/>
  <c r="G62"/>
  <c r="L61"/>
  <c r="H61"/>
  <c r="D61"/>
  <c r="I60"/>
  <c r="E60"/>
  <c r="J59"/>
  <c r="F59"/>
  <c r="K58"/>
  <c r="G58"/>
  <c r="L57"/>
  <c r="H57"/>
  <c r="D57"/>
  <c r="I56"/>
  <c r="E56"/>
  <c r="J55"/>
  <c r="F55"/>
  <c r="K54"/>
  <c r="G54"/>
  <c r="L53"/>
  <c r="H53"/>
  <c r="D53"/>
  <c r="I52"/>
  <c r="E52"/>
  <c r="J51"/>
  <c r="F51"/>
  <c r="K50"/>
  <c r="G50"/>
  <c r="L49"/>
  <c r="H49"/>
  <c r="D49"/>
  <c r="I48"/>
  <c r="E48"/>
  <c r="J47"/>
  <c r="F47"/>
  <c r="K46"/>
  <c r="G46"/>
  <c r="L45"/>
  <c r="H45"/>
  <c r="D45"/>
  <c r="I44"/>
  <c r="E44"/>
  <c r="J43"/>
  <c r="F43"/>
  <c r="K42"/>
  <c r="G42"/>
  <c r="L41"/>
  <c r="H41"/>
  <c r="D41"/>
  <c r="I40"/>
  <c r="E40"/>
  <c r="J39"/>
  <c r="F39"/>
  <c r="K38"/>
  <c r="G38"/>
  <c r="L37"/>
  <c r="H37"/>
  <c r="D37"/>
  <c r="I36"/>
  <c r="E36"/>
  <c r="J35"/>
  <c r="F35"/>
  <c r="K34"/>
  <c r="G34"/>
  <c r="L33"/>
  <c r="H33"/>
  <c r="D33"/>
  <c r="I32"/>
  <c r="E32"/>
  <c r="J31"/>
  <c r="F31"/>
  <c r="K30"/>
  <c r="G30"/>
  <c r="L29"/>
  <c r="H29"/>
  <c r="D29"/>
  <c r="I28"/>
  <c r="E28"/>
  <c r="J27"/>
  <c r="F27"/>
  <c r="K26"/>
  <c r="G26"/>
  <c r="L25"/>
  <c r="H25"/>
  <c r="D25"/>
  <c r="I24"/>
  <c r="E24"/>
  <c r="J23"/>
  <c r="F23"/>
  <c r="K22"/>
  <c r="G22"/>
  <c r="L21"/>
  <c r="H21"/>
  <c r="D21"/>
  <c r="I20"/>
  <c r="E20"/>
  <c r="J19"/>
  <c r="F19"/>
  <c r="K18"/>
  <c r="G18"/>
  <c r="I17"/>
  <c r="E17"/>
  <c r="J16"/>
  <c r="F16"/>
  <c r="K15"/>
  <c r="G15"/>
  <c r="L14"/>
  <c r="H14"/>
  <c r="D14"/>
  <c r="I13"/>
  <c r="E13"/>
  <c r="J12"/>
  <c r="F12"/>
  <c r="K11"/>
  <c r="G11"/>
  <c r="L10"/>
  <c r="H10"/>
  <c r="D10"/>
  <c r="I9"/>
  <c r="E9"/>
  <c r="J8"/>
  <c r="F8"/>
  <c r="K7"/>
  <c r="G7"/>
  <c r="L6"/>
  <c r="H6"/>
  <c r="D6"/>
  <c r="F15" i="11"/>
  <c r="D12"/>
  <c r="F10"/>
  <c r="D7"/>
  <c r="F23" i="9"/>
  <c r="F22"/>
  <c r="F21"/>
  <c r="F20"/>
  <c r="F19"/>
  <c r="E11"/>
  <c r="E10"/>
  <c r="E9"/>
  <c r="E8"/>
  <c r="E7"/>
  <c r="E6"/>
  <c r="E5"/>
  <c r="D37" i="8"/>
  <c r="F35"/>
  <c r="E34"/>
  <c r="D33"/>
  <c r="F31"/>
  <c r="E30"/>
  <c r="D29"/>
  <c r="F27"/>
  <c r="E26"/>
  <c r="D25"/>
  <c r="F17"/>
  <c r="E16"/>
  <c r="D15"/>
  <c r="F13"/>
  <c r="E12"/>
  <c r="D11"/>
  <c r="F9"/>
  <c r="E8"/>
  <c r="D7"/>
  <c r="F69" i="5"/>
  <c r="E68"/>
  <c r="D67"/>
  <c r="F65"/>
  <c r="E64"/>
  <c r="D63"/>
  <c r="F61"/>
  <c r="E60"/>
  <c r="D59"/>
  <c r="F57"/>
  <c r="E56"/>
  <c r="D55"/>
  <c r="F53"/>
  <c r="E52"/>
  <c r="D51"/>
  <c r="F49"/>
  <c r="E48"/>
  <c r="D47"/>
  <c r="F45"/>
  <c r="E44"/>
  <c r="D43"/>
  <c r="F41"/>
  <c r="E40"/>
  <c r="D39"/>
  <c r="F37"/>
  <c r="E36"/>
  <c r="D35"/>
  <c r="F33"/>
  <c r="E32"/>
  <c r="D31"/>
  <c r="F29"/>
  <c r="E28"/>
  <c r="D27"/>
  <c r="F25"/>
  <c r="E24"/>
  <c r="D23"/>
  <c r="F21"/>
  <c r="E20"/>
  <c r="D19"/>
  <c r="F17"/>
  <c r="F16"/>
  <c r="E15"/>
  <c r="D14"/>
  <c r="F12"/>
  <c r="E11"/>
  <c r="D10"/>
  <c r="F8"/>
  <c r="E7"/>
  <c r="D6"/>
  <c r="D14" i="4"/>
  <c r="F12"/>
  <c r="F68" i="5"/>
  <c r="D66"/>
  <c r="E63"/>
  <c r="F60"/>
  <c r="F56"/>
  <c r="D54"/>
  <c r="E51"/>
  <c r="F48"/>
  <c r="D46"/>
  <c r="E43"/>
  <c r="F40"/>
  <c r="F36"/>
  <c r="D34"/>
  <c r="E31"/>
  <c r="F28"/>
  <c r="D26"/>
  <c r="E23"/>
  <c r="F20"/>
  <c r="D18"/>
  <c r="F15"/>
  <c r="E14"/>
  <c r="D13"/>
  <c r="E10"/>
  <c r="F7"/>
  <c r="E6"/>
  <c r="E54"/>
  <c r="E50"/>
  <c r="D45"/>
  <c r="D41"/>
  <c r="E38"/>
  <c r="E34"/>
  <c r="F31"/>
  <c r="D29"/>
  <c r="D25"/>
  <c r="E22"/>
  <c r="D21"/>
  <c r="D17"/>
  <c r="E13"/>
  <c r="E9"/>
  <c r="D8"/>
  <c r="E5"/>
  <c r="E6" i="7" l="1"/>
  <c r="D9"/>
  <c r="E10"/>
  <c r="E14"/>
  <c r="D22"/>
  <c r="E23"/>
  <c r="D26"/>
  <c r="D30"/>
  <c r="F32"/>
  <c r="E35"/>
  <c r="E39"/>
  <c r="D42"/>
  <c r="D46"/>
  <c r="E51"/>
  <c r="E55"/>
  <c r="E7"/>
  <c r="F8"/>
  <c r="E11"/>
  <c r="D14"/>
  <c r="E18"/>
  <c r="E15"/>
  <c r="F16"/>
  <c r="D19"/>
  <c r="F21"/>
  <c r="E24"/>
  <c r="D27"/>
  <c r="F29"/>
  <c r="E32"/>
  <c r="D35"/>
  <c r="F37"/>
  <c r="F41"/>
  <c r="E44"/>
  <c r="D47"/>
  <c r="F49"/>
  <c r="E52"/>
  <c r="D55"/>
  <c r="F57"/>
  <c r="G12" i="4"/>
  <c r="H12"/>
  <c r="E14"/>
  <c r="D7" i="7"/>
  <c r="E8"/>
  <c r="F9"/>
  <c r="D11"/>
  <c r="E12"/>
  <c r="F13"/>
  <c r="D18"/>
  <c r="D15"/>
  <c r="E16"/>
  <c r="F17"/>
  <c r="D20"/>
  <c r="E21"/>
  <c r="F22"/>
  <c r="D24"/>
  <c r="E25"/>
  <c r="F26"/>
  <c r="D28"/>
  <c r="E29"/>
  <c r="F30"/>
  <c r="D32"/>
  <c r="E33"/>
  <c r="F34"/>
  <c r="D36"/>
  <c r="E37"/>
  <c r="F38"/>
  <c r="D40"/>
  <c r="E41"/>
  <c r="F42"/>
  <c r="D44"/>
  <c r="E45"/>
  <c r="F46"/>
  <c r="D48"/>
  <c r="E49"/>
  <c r="F50"/>
  <c r="D52"/>
  <c r="E53"/>
  <c r="F54"/>
  <c r="D56"/>
  <c r="E57"/>
  <c r="E12" i="9"/>
  <c r="F24"/>
  <c r="E7" i="11"/>
  <c r="G10"/>
  <c r="H10"/>
  <c r="E12"/>
  <c r="G15"/>
  <c r="H15"/>
  <c r="C6" i="14"/>
  <c r="G6"/>
  <c r="K6"/>
  <c r="F7"/>
  <c r="J7"/>
  <c r="E8"/>
  <c r="I8"/>
  <c r="D9"/>
  <c r="H9"/>
  <c r="C10"/>
  <c r="G10"/>
  <c r="K10"/>
  <c r="F11"/>
  <c r="J11"/>
  <c r="E12"/>
  <c r="I12"/>
  <c r="D13"/>
  <c r="H13"/>
  <c r="C14"/>
  <c r="G14"/>
  <c r="K14"/>
  <c r="F18"/>
  <c r="F15"/>
  <c r="J18"/>
  <c r="J15"/>
  <c r="E16"/>
  <c r="I16"/>
  <c r="D17"/>
  <c r="H17"/>
  <c r="E19"/>
  <c r="I19"/>
  <c r="D20"/>
  <c r="H20"/>
  <c r="C21"/>
  <c r="G21"/>
  <c r="K21"/>
  <c r="F22"/>
  <c r="J22"/>
  <c r="E23"/>
  <c r="I23"/>
  <c r="D24"/>
  <c r="H24"/>
  <c r="C25"/>
  <c r="G25"/>
  <c r="K25"/>
  <c r="F26"/>
  <c r="J26"/>
  <c r="E27"/>
  <c r="I27"/>
  <c r="D28"/>
  <c r="H28"/>
  <c r="C29"/>
  <c r="G29"/>
  <c r="K29"/>
  <c r="F30"/>
  <c r="J30"/>
  <c r="E31"/>
  <c r="I31"/>
  <c r="D32"/>
  <c r="H32"/>
  <c r="C33"/>
  <c r="G33"/>
  <c r="K33"/>
  <c r="F34"/>
  <c r="J34"/>
  <c r="E35"/>
  <c r="I35"/>
  <c r="D36"/>
  <c r="H36"/>
  <c r="C37"/>
  <c r="G37"/>
  <c r="K37"/>
  <c r="F38"/>
  <c r="J38"/>
  <c r="E39"/>
  <c r="I39"/>
  <c r="D40"/>
  <c r="H40"/>
  <c r="C41"/>
  <c r="G41"/>
  <c r="K41"/>
  <c r="F42"/>
  <c r="J42"/>
  <c r="E43"/>
  <c r="I43"/>
  <c r="D44"/>
  <c r="H44"/>
  <c r="C45"/>
  <c r="G45"/>
  <c r="K45"/>
  <c r="F46"/>
  <c r="J46"/>
  <c r="E47"/>
  <c r="I47"/>
  <c r="D48"/>
  <c r="H48"/>
  <c r="C49"/>
  <c r="G49"/>
  <c r="K49"/>
  <c r="F50"/>
  <c r="J50"/>
  <c r="E51"/>
  <c r="I51"/>
  <c r="D52"/>
  <c r="H52"/>
  <c r="C53"/>
  <c r="G53"/>
  <c r="K53"/>
  <c r="F54"/>
  <c r="J54"/>
  <c r="E55"/>
  <c r="I55"/>
  <c r="D56"/>
  <c r="H56"/>
  <c r="C57"/>
  <c r="G57"/>
  <c r="K57"/>
  <c r="H7" i="15"/>
  <c r="I8"/>
  <c r="J9"/>
  <c r="I14"/>
  <c r="F35"/>
  <c r="I23"/>
  <c r="J24"/>
  <c r="H30"/>
  <c r="H34"/>
  <c r="H46"/>
  <c r="I47"/>
  <c r="J48"/>
  <c r="I52"/>
  <c r="M8" i="17"/>
  <c r="N9"/>
  <c r="O10"/>
  <c r="P11"/>
  <c r="Q12"/>
  <c r="N14"/>
  <c r="N16"/>
  <c r="N18"/>
  <c r="R25"/>
  <c r="M28"/>
  <c r="E12" i="4"/>
  <c r="G14"/>
  <c r="H14"/>
  <c r="F7" i="7"/>
  <c r="F11"/>
  <c r="F15"/>
  <c r="F18"/>
  <c r="D17"/>
  <c r="F20"/>
  <c r="F24"/>
  <c r="E27"/>
  <c r="E31"/>
  <c r="D34"/>
  <c r="D38"/>
  <c r="F40"/>
  <c r="E43"/>
  <c r="E47"/>
  <c r="F48"/>
  <c r="F52"/>
  <c r="G13" i="4"/>
  <c r="H13"/>
  <c r="D6" i="7"/>
  <c r="D10"/>
  <c r="F12"/>
  <c r="E20"/>
  <c r="D23"/>
  <c r="F25"/>
  <c r="E28"/>
  <c r="D31"/>
  <c r="F33"/>
  <c r="E36"/>
  <c r="E40"/>
  <c r="D43"/>
  <c r="F45"/>
  <c r="E48"/>
  <c r="D51"/>
  <c r="F53"/>
  <c r="E56"/>
  <c r="E13" i="4"/>
  <c r="F6" i="7"/>
  <c r="D8"/>
  <c r="E9"/>
  <c r="F10"/>
  <c r="D12"/>
  <c r="E13"/>
  <c r="F14"/>
  <c r="D16"/>
  <c r="E17"/>
  <c r="F19"/>
  <c r="D21"/>
  <c r="E22"/>
  <c r="F23"/>
  <c r="D25"/>
  <c r="E26"/>
  <c r="F27"/>
  <c r="D29"/>
  <c r="E30"/>
  <c r="F31"/>
  <c r="D33"/>
  <c r="E34"/>
  <c r="F35"/>
  <c r="D37"/>
  <c r="E38"/>
  <c r="F39"/>
  <c r="D41"/>
  <c r="E42"/>
  <c r="F43"/>
  <c r="D45"/>
  <c r="E46"/>
  <c r="F47"/>
  <c r="D49"/>
  <c r="E50"/>
  <c r="F51"/>
  <c r="D53"/>
  <c r="E54"/>
  <c r="F55"/>
  <c r="D57"/>
  <c r="D12" i="9"/>
  <c r="E24"/>
  <c r="E6" i="11"/>
  <c r="H8"/>
  <c r="G8"/>
  <c r="E11"/>
  <c r="H14"/>
  <c r="G14"/>
  <c r="E16"/>
  <c r="F6" i="14"/>
  <c r="J6"/>
  <c r="E7"/>
  <c r="I7"/>
  <c r="D8"/>
  <c r="H8"/>
  <c r="C9"/>
  <c r="G9"/>
  <c r="K9"/>
  <c r="F10"/>
  <c r="J10"/>
  <c r="E11"/>
  <c r="I11"/>
  <c r="D12"/>
  <c r="H12"/>
  <c r="C13"/>
  <c r="G13"/>
  <c r="K13"/>
  <c r="F14"/>
  <c r="J14"/>
  <c r="E18"/>
  <c r="E15"/>
  <c r="I18"/>
  <c r="I15"/>
  <c r="D16"/>
  <c r="H16"/>
  <c r="C17"/>
  <c r="G17"/>
  <c r="K17"/>
  <c r="D19"/>
  <c r="H19"/>
  <c r="C20"/>
  <c r="G20"/>
  <c r="K20"/>
  <c r="F21"/>
  <c r="J21"/>
  <c r="E22"/>
  <c r="I22"/>
  <c r="D23"/>
  <c r="H23"/>
  <c r="C24"/>
  <c r="G24"/>
  <c r="K24"/>
  <c r="F25"/>
  <c r="J25"/>
  <c r="E26"/>
  <c r="I26"/>
  <c r="D27"/>
  <c r="H27"/>
  <c r="C28"/>
  <c r="G28"/>
  <c r="K28"/>
  <c r="F29"/>
  <c r="J29"/>
  <c r="E30"/>
  <c r="I30"/>
  <c r="D31"/>
  <c r="H31"/>
  <c r="C32"/>
  <c r="G32"/>
  <c r="K32"/>
  <c r="F33"/>
  <c r="J33"/>
  <c r="E34"/>
  <c r="I34"/>
  <c r="D35"/>
  <c r="H35"/>
  <c r="C36"/>
  <c r="G36"/>
  <c r="K36"/>
  <c r="F37"/>
  <c r="J37"/>
  <c r="E38"/>
  <c r="I38"/>
  <c r="D39"/>
  <c r="H39"/>
  <c r="C40"/>
  <c r="G40"/>
  <c r="K40"/>
  <c r="F41"/>
  <c r="J41"/>
  <c r="E42"/>
  <c r="I42"/>
  <c r="D43"/>
  <c r="H43"/>
  <c r="C44"/>
  <c r="G44"/>
  <c r="K44"/>
  <c r="F45"/>
  <c r="J45"/>
  <c r="E46"/>
  <c r="I46"/>
  <c r="D47"/>
  <c r="H47"/>
  <c r="C48"/>
  <c r="G48"/>
  <c r="K48"/>
  <c r="F49"/>
  <c r="J49"/>
  <c r="E50"/>
  <c r="I50"/>
  <c r="D51"/>
  <c r="H51"/>
  <c r="C52"/>
  <c r="G52"/>
  <c r="K52"/>
  <c r="F53"/>
  <c r="J53"/>
  <c r="E54"/>
  <c r="I54"/>
  <c r="D55"/>
  <c r="H55"/>
  <c r="C56"/>
  <c r="G56"/>
  <c r="K56"/>
  <c r="F57"/>
  <c r="J57"/>
  <c r="H10" i="15"/>
  <c r="I11"/>
  <c r="H15"/>
  <c r="H25"/>
  <c r="I26"/>
  <c r="J27"/>
  <c r="I32"/>
  <c r="F54"/>
  <c r="I42"/>
  <c r="J43"/>
  <c r="H49"/>
  <c r="H53"/>
  <c r="P6" i="17"/>
  <c r="Q7"/>
  <c r="R8"/>
  <c r="M11"/>
  <c r="N12"/>
  <c r="O13"/>
  <c r="O15"/>
  <c r="O17"/>
  <c r="O25"/>
  <c r="P26"/>
  <c r="Q27"/>
  <c r="R28"/>
  <c r="D13" i="7"/>
  <c r="E19"/>
  <c r="F28"/>
  <c r="F36"/>
  <c r="F44"/>
  <c r="D50"/>
  <c r="D54"/>
  <c r="F56"/>
  <c r="G12" i="9"/>
  <c r="G13" s="1"/>
  <c r="D24"/>
  <c r="G7" i="11"/>
  <c r="H7"/>
  <c r="E10"/>
  <c r="G12"/>
  <c r="H12"/>
  <c r="E15"/>
  <c r="E6" i="14"/>
  <c r="I6"/>
  <c r="D7"/>
  <c r="H7"/>
  <c r="C8"/>
  <c r="G8"/>
  <c r="K8"/>
  <c r="F9"/>
  <c r="J9"/>
  <c r="E10"/>
  <c r="I10"/>
  <c r="D11"/>
  <c r="H11"/>
  <c r="C12"/>
  <c r="G12"/>
  <c r="K12"/>
  <c r="F13"/>
  <c r="J13"/>
  <c r="E14"/>
  <c r="I14"/>
  <c r="D15"/>
  <c r="D18"/>
  <c r="H15"/>
  <c r="H18"/>
  <c r="C16"/>
  <c r="G16"/>
  <c r="K16"/>
  <c r="F17"/>
  <c r="J17"/>
  <c r="C19"/>
  <c r="G19"/>
  <c r="K19"/>
  <c r="F20"/>
  <c r="J20"/>
  <c r="E21"/>
  <c r="I21"/>
  <c r="D22"/>
  <c r="H22"/>
  <c r="C23"/>
  <c r="G23"/>
  <c r="K23"/>
  <c r="F24"/>
  <c r="J24"/>
  <c r="E25"/>
  <c r="I25"/>
  <c r="D26"/>
  <c r="H26"/>
  <c r="C27"/>
  <c r="G27"/>
  <c r="K27"/>
  <c r="F28"/>
  <c r="J28"/>
  <c r="E29"/>
  <c r="I29"/>
  <c r="D30"/>
  <c r="H30"/>
  <c r="C31"/>
  <c r="G31"/>
  <c r="K31"/>
  <c r="F32"/>
  <c r="J32"/>
  <c r="E33"/>
  <c r="I33"/>
  <c r="D34"/>
  <c r="H34"/>
  <c r="C35"/>
  <c r="G35"/>
  <c r="K35"/>
  <c r="F36"/>
  <c r="J36"/>
  <c r="E37"/>
  <c r="I37"/>
  <c r="D38"/>
  <c r="H38"/>
  <c r="C39"/>
  <c r="G39"/>
  <c r="K39"/>
  <c r="F40"/>
  <c r="J40"/>
  <c r="E41"/>
  <c r="I41"/>
  <c r="D42"/>
  <c r="H42"/>
  <c r="C43"/>
  <c r="G43"/>
  <c r="K43"/>
  <c r="F44"/>
  <c r="J44"/>
  <c r="E45"/>
  <c r="I45"/>
  <c r="D46"/>
  <c r="H46"/>
  <c r="C47"/>
  <c r="G47"/>
  <c r="K47"/>
  <c r="F48"/>
  <c r="J48"/>
  <c r="E49"/>
  <c r="I49"/>
  <c r="D50"/>
  <c r="H50"/>
  <c r="C51"/>
  <c r="G51"/>
  <c r="K51"/>
  <c r="F52"/>
  <c r="J52"/>
  <c r="E53"/>
  <c r="I53"/>
  <c r="D54"/>
  <c r="H54"/>
  <c r="C55"/>
  <c r="G55"/>
  <c r="K55"/>
  <c r="F56"/>
  <c r="J56"/>
  <c r="E57"/>
  <c r="I57"/>
  <c r="J5" i="15"/>
  <c r="H11"/>
  <c r="I12"/>
  <c r="I16"/>
  <c r="H26"/>
  <c r="I27"/>
  <c r="J28"/>
  <c r="H32"/>
  <c r="E54"/>
  <c r="H42"/>
  <c r="I43"/>
  <c r="J44"/>
  <c r="I50"/>
  <c r="O6" i="17"/>
  <c r="P7"/>
  <c r="Q8"/>
  <c r="R9"/>
  <c r="M12"/>
  <c r="N13"/>
  <c r="N15"/>
  <c r="N17"/>
  <c r="N25"/>
  <c r="O26"/>
  <c r="P27"/>
  <c r="Q28"/>
  <c r="D39" i="7"/>
  <c r="F12" i="9"/>
  <c r="F13" s="1"/>
  <c r="G24"/>
  <c r="G6" i="11"/>
  <c r="H6"/>
  <c r="E8"/>
  <c r="G11"/>
  <c r="H11"/>
  <c r="E14"/>
  <c r="G16"/>
  <c r="H16"/>
  <c r="D6" i="14"/>
  <c r="H6"/>
  <c r="C7"/>
  <c r="G7"/>
  <c r="K7"/>
  <c r="F8"/>
  <c r="J8"/>
  <c r="E9"/>
  <c r="I9"/>
  <c r="D10"/>
  <c r="H10"/>
  <c r="C11"/>
  <c r="G11"/>
  <c r="K11"/>
  <c r="F12"/>
  <c r="J12"/>
  <c r="E13"/>
  <c r="I13"/>
  <c r="D14"/>
  <c r="H14"/>
  <c r="C18"/>
  <c r="C15"/>
  <c r="G18"/>
  <c r="G15"/>
  <c r="K18"/>
  <c r="K15"/>
  <c r="F16"/>
  <c r="J16"/>
  <c r="E17"/>
  <c r="I17"/>
  <c r="F19"/>
  <c r="J19"/>
  <c r="E20"/>
  <c r="I20"/>
  <c r="D21"/>
  <c r="H21"/>
  <c r="C22"/>
  <c r="G22"/>
  <c r="K22"/>
  <c r="F23"/>
  <c r="J23"/>
  <c r="E24"/>
  <c r="I24"/>
  <c r="D25"/>
  <c r="H25"/>
  <c r="C26"/>
  <c r="G26"/>
  <c r="K26"/>
  <c r="F27"/>
  <c r="J27"/>
  <c r="E28"/>
  <c r="I28"/>
  <c r="D29"/>
  <c r="H29"/>
  <c r="C30"/>
  <c r="G30"/>
  <c r="K30"/>
  <c r="F31"/>
  <c r="J31"/>
  <c r="E32"/>
  <c r="I32"/>
  <c r="D33"/>
  <c r="H33"/>
  <c r="C34"/>
  <c r="G34"/>
  <c r="K34"/>
  <c r="F35"/>
  <c r="J35"/>
  <c r="E36"/>
  <c r="I36"/>
  <c r="D37"/>
  <c r="H37"/>
  <c r="C38"/>
  <c r="G38"/>
  <c r="K38"/>
  <c r="F39"/>
  <c r="J39"/>
  <c r="E40"/>
  <c r="I40"/>
  <c r="D41"/>
  <c r="H41"/>
  <c r="C42"/>
  <c r="G42"/>
  <c r="K42"/>
  <c r="F43"/>
  <c r="J43"/>
  <c r="E44"/>
  <c r="I44"/>
  <c r="D45"/>
  <c r="H45"/>
  <c r="C46"/>
  <c r="G46"/>
  <c r="K46"/>
  <c r="F47"/>
  <c r="J47"/>
  <c r="E48"/>
  <c r="I48"/>
  <c r="D49"/>
  <c r="H49"/>
  <c r="C50"/>
  <c r="G50"/>
  <c r="K50"/>
  <c r="F51"/>
  <c r="J51"/>
  <c r="E52"/>
  <c r="I52"/>
  <c r="D53"/>
  <c r="H53"/>
  <c r="C54"/>
  <c r="G54"/>
  <c r="K54"/>
  <c r="F55"/>
  <c r="J55"/>
  <c r="E56"/>
  <c r="I56"/>
  <c r="D57"/>
  <c r="H57"/>
  <c r="H6" i="15"/>
  <c r="I7"/>
  <c r="J8"/>
  <c r="H13"/>
  <c r="H17"/>
  <c r="J23"/>
  <c r="G35"/>
  <c r="H29"/>
  <c r="I30"/>
  <c r="I34"/>
  <c r="H45"/>
  <c r="I46"/>
  <c r="J47"/>
  <c r="H51"/>
  <c r="M7" i="17"/>
  <c r="N8"/>
  <c r="O9"/>
  <c r="P10"/>
  <c r="Q11"/>
  <c r="R12"/>
  <c r="O14"/>
  <c r="O16"/>
  <c r="O18"/>
  <c r="M27"/>
  <c r="N28"/>
  <c r="I5" i="15"/>
  <c r="J6"/>
  <c r="H8"/>
  <c r="I9"/>
  <c r="J10"/>
  <c r="H12"/>
  <c r="H14"/>
  <c r="H16"/>
  <c r="E35"/>
  <c r="H23"/>
  <c r="I24"/>
  <c r="J25"/>
  <c r="H27"/>
  <c r="I28"/>
  <c r="J29"/>
  <c r="I31"/>
  <c r="I33"/>
  <c r="D54"/>
  <c r="H43"/>
  <c r="I44"/>
  <c r="J45"/>
  <c r="H47"/>
  <c r="I48"/>
  <c r="H50"/>
  <c r="H52"/>
  <c r="N6" i="17"/>
  <c r="R6"/>
  <c r="O7"/>
  <c r="P8"/>
  <c r="M9"/>
  <c r="Q9"/>
  <c r="N10"/>
  <c r="R10"/>
  <c r="O11"/>
  <c r="P12"/>
  <c r="M13"/>
  <c r="M14"/>
  <c r="M15"/>
  <c r="M16"/>
  <c r="M17"/>
  <c r="M18"/>
  <c r="M25"/>
  <c r="Q25"/>
  <c r="N26"/>
  <c r="R26"/>
  <c r="O27"/>
  <c r="P28"/>
  <c r="M29"/>
  <c r="Q29"/>
  <c r="N30"/>
  <c r="R30"/>
  <c r="O31"/>
  <c r="P45"/>
  <c r="M46"/>
  <c r="Q46"/>
  <c r="N47"/>
  <c r="R47"/>
  <c r="O48"/>
  <c r="P49"/>
  <c r="M50"/>
  <c r="Q50"/>
  <c r="N51"/>
  <c r="R51"/>
  <c r="O52"/>
  <c r="O53"/>
  <c r="O54"/>
  <c r="O55"/>
  <c r="O56"/>
  <c r="O57"/>
  <c r="C5" i="23"/>
  <c r="G5"/>
  <c r="D6"/>
  <c r="H6"/>
  <c r="E7"/>
  <c r="I7"/>
  <c r="F8"/>
  <c r="C9"/>
  <c r="G9"/>
  <c r="D10"/>
  <c r="H10"/>
  <c r="E11"/>
  <c r="I11"/>
  <c r="F12"/>
  <c r="C13"/>
  <c r="G13"/>
  <c r="D17"/>
  <c r="D14"/>
  <c r="H17"/>
  <c r="H14"/>
  <c r="E15"/>
  <c r="I15"/>
  <c r="F16"/>
  <c r="C18"/>
  <c r="G18"/>
  <c r="D19"/>
  <c r="H19"/>
  <c r="E20"/>
  <c r="I20"/>
  <c r="F21"/>
  <c r="C22"/>
  <c r="G22"/>
  <c r="D23"/>
  <c r="H23"/>
  <c r="E24"/>
  <c r="I24"/>
  <c r="F25"/>
  <c r="C26"/>
  <c r="G26"/>
  <c r="D27"/>
  <c r="H27"/>
  <c r="E28"/>
  <c r="I28"/>
  <c r="F29"/>
  <c r="C30"/>
  <c r="G30"/>
  <c r="D31"/>
  <c r="H31"/>
  <c r="E32"/>
  <c r="I32"/>
  <c r="F33"/>
  <c r="C34"/>
  <c r="G34"/>
  <c r="D35"/>
  <c r="H35"/>
  <c r="E36"/>
  <c r="I36"/>
  <c r="F37"/>
  <c r="C38"/>
  <c r="G38"/>
  <c r="D39"/>
  <c r="H39"/>
  <c r="E40"/>
  <c r="I40"/>
  <c r="F41"/>
  <c r="C42"/>
  <c r="G42"/>
  <c r="D43"/>
  <c r="H43"/>
  <c r="E44"/>
  <c r="I44"/>
  <c r="F45"/>
  <c r="C46"/>
  <c r="G46"/>
  <c r="D47"/>
  <c r="H47"/>
  <c r="E48"/>
  <c r="I48"/>
  <c r="F49"/>
  <c r="C50"/>
  <c r="G50"/>
  <c r="D51"/>
  <c r="H51"/>
  <c r="E52"/>
  <c r="I52"/>
  <c r="F53"/>
  <c r="C54"/>
  <c r="G54"/>
  <c r="D55"/>
  <c r="H55"/>
  <c r="E56"/>
  <c r="I56"/>
  <c r="F6" i="26"/>
  <c r="D18"/>
  <c r="G9"/>
  <c r="F10"/>
  <c r="G24"/>
  <c r="E36"/>
  <c r="F25"/>
  <c r="G28"/>
  <c r="F29"/>
  <c r="G43"/>
  <c r="F44"/>
  <c r="G47"/>
  <c r="F48"/>
  <c r="C72"/>
  <c r="G62"/>
  <c r="F63"/>
  <c r="G66"/>
  <c r="F67"/>
  <c r="F68"/>
  <c r="F69"/>
  <c r="F70"/>
  <c r="F71"/>
  <c r="F78"/>
  <c r="D90"/>
  <c r="G81"/>
  <c r="F82"/>
  <c r="G96"/>
  <c r="E108"/>
  <c r="F97"/>
  <c r="G100"/>
  <c r="F101"/>
  <c r="G115"/>
  <c r="F116"/>
  <c r="G119"/>
  <c r="F120"/>
  <c r="C144"/>
  <c r="G134"/>
  <c r="F135"/>
  <c r="G138"/>
  <c r="F139"/>
  <c r="F140"/>
  <c r="F141"/>
  <c r="F142"/>
  <c r="F143"/>
  <c r="F150"/>
  <c r="D162"/>
  <c r="G153"/>
  <c r="F154"/>
  <c r="G168"/>
  <c r="E180"/>
  <c r="F169"/>
  <c r="G172"/>
  <c r="F173"/>
  <c r="G187"/>
  <c r="F188"/>
  <c r="G191"/>
  <c r="F192"/>
  <c r="C216"/>
  <c r="G206"/>
  <c r="F207"/>
  <c r="G210"/>
  <c r="F211"/>
  <c r="F212"/>
  <c r="F213"/>
  <c r="F214"/>
  <c r="F215"/>
  <c r="F222"/>
  <c r="D234"/>
  <c r="F223"/>
  <c r="G226"/>
  <c r="F242"/>
  <c r="G245"/>
  <c r="C270"/>
  <c r="F261"/>
  <c r="G264"/>
  <c r="F266"/>
  <c r="F268"/>
  <c r="F280"/>
  <c r="F7" i="27"/>
  <c r="N7"/>
  <c r="V7"/>
  <c r="S7"/>
  <c r="AD7"/>
  <c r="AL7"/>
  <c r="H8"/>
  <c r="P8"/>
  <c r="X8"/>
  <c r="AF8"/>
  <c r="AN8"/>
  <c r="AV8"/>
  <c r="AS8"/>
  <c r="J9"/>
  <c r="R9"/>
  <c r="Z9"/>
  <c r="AH9"/>
  <c r="AP9"/>
  <c r="D10"/>
  <c r="L10"/>
  <c r="AB10"/>
  <c r="AJ10"/>
  <c r="AR10"/>
  <c r="F11"/>
  <c r="N11"/>
  <c r="V11"/>
  <c r="S11"/>
  <c r="AD11"/>
  <c r="AL11"/>
  <c r="H12"/>
  <c r="P12"/>
  <c r="X12"/>
  <c r="AF12"/>
  <c r="AN12"/>
  <c r="AV12"/>
  <c r="AS12"/>
  <c r="J13"/>
  <c r="R13"/>
  <c r="Z13"/>
  <c r="AH13"/>
  <c r="AP13"/>
  <c r="D14"/>
  <c r="L14"/>
  <c r="AB14"/>
  <c r="AJ14"/>
  <c r="AR14"/>
  <c r="F15"/>
  <c r="N15"/>
  <c r="V15"/>
  <c r="S15"/>
  <c r="AD15"/>
  <c r="AL15"/>
  <c r="H16"/>
  <c r="P16"/>
  <c r="X16"/>
  <c r="AF16"/>
  <c r="AN16"/>
  <c r="H5" i="15"/>
  <c r="I6"/>
  <c r="J7"/>
  <c r="H9"/>
  <c r="I10"/>
  <c r="J11"/>
  <c r="I13"/>
  <c r="I15"/>
  <c r="I17"/>
  <c r="D35"/>
  <c r="H24"/>
  <c r="I25"/>
  <c r="J26"/>
  <c r="H28"/>
  <c r="I29"/>
  <c r="H31"/>
  <c r="H33"/>
  <c r="J42"/>
  <c r="G54"/>
  <c r="H44"/>
  <c r="I45"/>
  <c r="J46"/>
  <c r="H48"/>
  <c r="I49"/>
  <c r="I51"/>
  <c r="I53"/>
  <c r="M6" i="17"/>
  <c r="Q6"/>
  <c r="N7"/>
  <c r="R7"/>
  <c r="O8"/>
  <c r="P9"/>
  <c r="M10"/>
  <c r="Q10"/>
  <c r="N11"/>
  <c r="R11"/>
  <c r="O12"/>
  <c r="P25"/>
  <c r="M26"/>
  <c r="Q26"/>
  <c r="N27"/>
  <c r="R27"/>
  <c r="O28"/>
  <c r="P29"/>
  <c r="M30"/>
  <c r="Q30"/>
  <c r="N31"/>
  <c r="R31"/>
  <c r="O32"/>
  <c r="O33"/>
  <c r="O34"/>
  <c r="O35"/>
  <c r="O36"/>
  <c r="O37"/>
  <c r="O45"/>
  <c r="P46"/>
  <c r="M47"/>
  <c r="Q47"/>
  <c r="N48"/>
  <c r="R48"/>
  <c r="O49"/>
  <c r="P50"/>
  <c r="M51"/>
  <c r="Q51"/>
  <c r="N52"/>
  <c r="N53"/>
  <c r="N54"/>
  <c r="N55"/>
  <c r="N56"/>
  <c r="N57"/>
  <c r="F5" i="23"/>
  <c r="C6"/>
  <c r="G6"/>
  <c r="D7"/>
  <c r="H7"/>
  <c r="E8"/>
  <c r="I8"/>
  <c r="F9"/>
  <c r="C10"/>
  <c r="G10"/>
  <c r="D11"/>
  <c r="H11"/>
  <c r="E12"/>
  <c r="I12"/>
  <c r="F13"/>
  <c r="C14"/>
  <c r="C17"/>
  <c r="G14"/>
  <c r="G17"/>
  <c r="D15"/>
  <c r="H15"/>
  <c r="E16"/>
  <c r="I16"/>
  <c r="F18"/>
  <c r="C19"/>
  <c r="G19"/>
  <c r="D20"/>
  <c r="H20"/>
  <c r="E21"/>
  <c r="I21"/>
  <c r="F22"/>
  <c r="C23"/>
  <c r="G23"/>
  <c r="D24"/>
  <c r="H24"/>
  <c r="E25"/>
  <c r="I25"/>
  <c r="F26"/>
  <c r="C27"/>
  <c r="G27"/>
  <c r="D28"/>
  <c r="H28"/>
  <c r="E29"/>
  <c r="I29"/>
  <c r="F30"/>
  <c r="C31"/>
  <c r="G31"/>
  <c r="D32"/>
  <c r="H32"/>
  <c r="E33"/>
  <c r="I33"/>
  <c r="F34"/>
  <c r="C35"/>
  <c r="G35"/>
  <c r="D36"/>
  <c r="H36"/>
  <c r="E37"/>
  <c r="I37"/>
  <c r="F38"/>
  <c r="C39"/>
  <c r="G39"/>
  <c r="D40"/>
  <c r="H40"/>
  <c r="E41"/>
  <c r="I41"/>
  <c r="F42"/>
  <c r="C43"/>
  <c r="G43"/>
  <c r="D44"/>
  <c r="H44"/>
  <c r="E45"/>
  <c r="I45"/>
  <c r="F46"/>
  <c r="C47"/>
  <c r="G47"/>
  <c r="D48"/>
  <c r="H48"/>
  <c r="E49"/>
  <c r="I49"/>
  <c r="F50"/>
  <c r="C51"/>
  <c r="G51"/>
  <c r="D52"/>
  <c r="H52"/>
  <c r="E53"/>
  <c r="I53"/>
  <c r="F54"/>
  <c r="C55"/>
  <c r="G55"/>
  <c r="D56"/>
  <c r="H56"/>
  <c r="C18" i="26"/>
  <c r="G8"/>
  <c r="F9"/>
  <c r="G12"/>
  <c r="F13"/>
  <c r="F14"/>
  <c r="F15"/>
  <c r="F16"/>
  <c r="F17"/>
  <c r="F24"/>
  <c r="D36"/>
  <c r="G27"/>
  <c r="F28"/>
  <c r="G42"/>
  <c r="E54"/>
  <c r="F43"/>
  <c r="G46"/>
  <c r="F47"/>
  <c r="G61"/>
  <c r="F62"/>
  <c r="G65"/>
  <c r="F66"/>
  <c r="C90"/>
  <c r="G80"/>
  <c r="F81"/>
  <c r="G84"/>
  <c r="F85"/>
  <c r="F86"/>
  <c r="F87"/>
  <c r="F88"/>
  <c r="F89"/>
  <c r="F96"/>
  <c r="D108"/>
  <c r="G99"/>
  <c r="F100"/>
  <c r="G114"/>
  <c r="E126"/>
  <c r="F115"/>
  <c r="G118"/>
  <c r="F119"/>
  <c r="G133"/>
  <c r="F134"/>
  <c r="G137"/>
  <c r="F138"/>
  <c r="C162"/>
  <c r="G152"/>
  <c r="F153"/>
  <c r="G156"/>
  <c r="F157"/>
  <c r="F158"/>
  <c r="F159"/>
  <c r="F160"/>
  <c r="F161"/>
  <c r="F168"/>
  <c r="D180"/>
  <c r="G171"/>
  <c r="F172"/>
  <c r="G186"/>
  <c r="E198"/>
  <c r="F187"/>
  <c r="G190"/>
  <c r="F191"/>
  <c r="G205"/>
  <c r="F206"/>
  <c r="G209"/>
  <c r="F210"/>
  <c r="C234"/>
  <c r="G224"/>
  <c r="F229"/>
  <c r="F231"/>
  <c r="F233"/>
  <c r="D252"/>
  <c r="F240"/>
  <c r="G243"/>
  <c r="F259"/>
  <c r="G262"/>
  <c r="F278"/>
  <c r="G281"/>
  <c r="D7" i="27"/>
  <c r="L7"/>
  <c r="AB7"/>
  <c r="AJ7"/>
  <c r="AR7"/>
  <c r="F8"/>
  <c r="N8"/>
  <c r="V8"/>
  <c r="S8"/>
  <c r="AD8"/>
  <c r="AL8"/>
  <c r="H9"/>
  <c r="P9"/>
  <c r="X9"/>
  <c r="AF9"/>
  <c r="AN9"/>
  <c r="AV9"/>
  <c r="AS9"/>
  <c r="J10"/>
  <c r="R10"/>
  <c r="Z10"/>
  <c r="AH10"/>
  <c r="AP10"/>
  <c r="D11"/>
  <c r="L11"/>
  <c r="AB11"/>
  <c r="AJ11"/>
  <c r="AR11"/>
  <c r="F12"/>
  <c r="N12"/>
  <c r="V12"/>
  <c r="S12"/>
  <c r="AD12"/>
  <c r="AL12"/>
  <c r="H13"/>
  <c r="P13"/>
  <c r="X13"/>
  <c r="AF13"/>
  <c r="AN13"/>
  <c r="AV13"/>
  <c r="AS13"/>
  <c r="J14"/>
  <c r="R14"/>
  <c r="Z14"/>
  <c r="AH14"/>
  <c r="AP14"/>
  <c r="D15"/>
  <c r="L15"/>
  <c r="AB15"/>
  <c r="AJ15"/>
  <c r="AR15"/>
  <c r="F16"/>
  <c r="N16"/>
  <c r="V16"/>
  <c r="S16"/>
  <c r="AD16"/>
  <c r="AL16"/>
  <c r="O29" i="17"/>
  <c r="P30"/>
  <c r="M31"/>
  <c r="Q31"/>
  <c r="N32"/>
  <c r="N33"/>
  <c r="N34"/>
  <c r="N35"/>
  <c r="N36"/>
  <c r="N37"/>
  <c r="N45"/>
  <c r="R45"/>
  <c r="O46"/>
  <c r="P47"/>
  <c r="M48"/>
  <c r="Q48"/>
  <c r="N49"/>
  <c r="R49"/>
  <c r="O50"/>
  <c r="P51"/>
  <c r="M52"/>
  <c r="M53"/>
  <c r="M54"/>
  <c r="M55"/>
  <c r="M56"/>
  <c r="M57"/>
  <c r="E5" i="23"/>
  <c r="I5"/>
  <c r="F6"/>
  <c r="C7"/>
  <c r="G7"/>
  <c r="D8"/>
  <c r="H8"/>
  <c r="E9"/>
  <c r="I9"/>
  <c r="F10"/>
  <c r="C11"/>
  <c r="G11"/>
  <c r="D12"/>
  <c r="H12"/>
  <c r="E13"/>
  <c r="I13"/>
  <c r="F14"/>
  <c r="F17"/>
  <c r="C15"/>
  <c r="G15"/>
  <c r="D16"/>
  <c r="H16"/>
  <c r="E18"/>
  <c r="I18"/>
  <c r="F19"/>
  <c r="C20"/>
  <c r="G20"/>
  <c r="D21"/>
  <c r="H21"/>
  <c r="E22"/>
  <c r="I22"/>
  <c r="F23"/>
  <c r="C24"/>
  <c r="G24"/>
  <c r="D25"/>
  <c r="H25"/>
  <c r="E26"/>
  <c r="I26"/>
  <c r="F27"/>
  <c r="C28"/>
  <c r="G28"/>
  <c r="D29"/>
  <c r="H29"/>
  <c r="E30"/>
  <c r="I30"/>
  <c r="F31"/>
  <c r="C32"/>
  <c r="G32"/>
  <c r="D33"/>
  <c r="H33"/>
  <c r="E34"/>
  <c r="I34"/>
  <c r="F35"/>
  <c r="C36"/>
  <c r="G36"/>
  <c r="D37"/>
  <c r="H37"/>
  <c r="E38"/>
  <c r="I38"/>
  <c r="F39"/>
  <c r="C40"/>
  <c r="G40"/>
  <c r="D41"/>
  <c r="H41"/>
  <c r="E42"/>
  <c r="I42"/>
  <c r="F43"/>
  <c r="C44"/>
  <c r="G44"/>
  <c r="D45"/>
  <c r="H45"/>
  <c r="E46"/>
  <c r="I46"/>
  <c r="F47"/>
  <c r="C48"/>
  <c r="G48"/>
  <c r="D49"/>
  <c r="H49"/>
  <c r="E50"/>
  <c r="I50"/>
  <c r="F51"/>
  <c r="C52"/>
  <c r="G52"/>
  <c r="D53"/>
  <c r="H53"/>
  <c r="E54"/>
  <c r="I54"/>
  <c r="F55"/>
  <c r="C56"/>
  <c r="G56"/>
  <c r="G7" i="26"/>
  <c r="F8"/>
  <c r="G11"/>
  <c r="F12"/>
  <c r="C36"/>
  <c r="G26"/>
  <c r="F27"/>
  <c r="G30"/>
  <c r="F31"/>
  <c r="F32"/>
  <c r="F33"/>
  <c r="F34"/>
  <c r="F35"/>
  <c r="D54"/>
  <c r="F54" s="1"/>
  <c r="F42"/>
  <c r="G45"/>
  <c r="F46"/>
  <c r="E72"/>
  <c r="G60"/>
  <c r="F61"/>
  <c r="G64"/>
  <c r="F65"/>
  <c r="G79"/>
  <c r="F80"/>
  <c r="G83"/>
  <c r="F84"/>
  <c r="C108"/>
  <c r="G98"/>
  <c r="F99"/>
  <c r="G102"/>
  <c r="F103"/>
  <c r="F104"/>
  <c r="F105"/>
  <c r="F106"/>
  <c r="F107"/>
  <c r="D126"/>
  <c r="F114"/>
  <c r="G117"/>
  <c r="F118"/>
  <c r="E144"/>
  <c r="G132"/>
  <c r="F133"/>
  <c r="G136"/>
  <c r="F137"/>
  <c r="G151"/>
  <c r="F152"/>
  <c r="G155"/>
  <c r="F156"/>
  <c r="C180"/>
  <c r="G170"/>
  <c r="F171"/>
  <c r="G174"/>
  <c r="F175"/>
  <c r="F176"/>
  <c r="F177"/>
  <c r="F178"/>
  <c r="F179"/>
  <c r="D198"/>
  <c r="F198" s="1"/>
  <c r="F186"/>
  <c r="G189"/>
  <c r="F190"/>
  <c r="E216"/>
  <c r="G204"/>
  <c r="F205"/>
  <c r="G208"/>
  <c r="F209"/>
  <c r="F227"/>
  <c r="G241"/>
  <c r="F246"/>
  <c r="G260"/>
  <c r="F265"/>
  <c r="F267"/>
  <c r="F269"/>
  <c r="D288"/>
  <c r="F276"/>
  <c r="G279"/>
  <c r="J7" i="27"/>
  <c r="R7"/>
  <c r="Z7"/>
  <c r="AH7"/>
  <c r="AP7"/>
  <c r="D8"/>
  <c r="L8"/>
  <c r="AB8"/>
  <c r="AJ8"/>
  <c r="AR8"/>
  <c r="F9"/>
  <c r="N9"/>
  <c r="V9"/>
  <c r="S9"/>
  <c r="AD9"/>
  <c r="AL9"/>
  <c r="H10"/>
  <c r="P10"/>
  <c r="X10"/>
  <c r="AF10"/>
  <c r="AN10"/>
  <c r="AV10"/>
  <c r="AS10"/>
  <c r="J11"/>
  <c r="R11"/>
  <c r="Z11"/>
  <c r="AH11"/>
  <c r="AP11"/>
  <c r="D12"/>
  <c r="L12"/>
  <c r="AB12"/>
  <c r="AJ12"/>
  <c r="AR12"/>
  <c r="F13"/>
  <c r="N13"/>
  <c r="V13"/>
  <c r="S13"/>
  <c r="AD13"/>
  <c r="AL13"/>
  <c r="H14"/>
  <c r="P14"/>
  <c r="X14"/>
  <c r="AF14"/>
  <c r="AN14"/>
  <c r="AV14"/>
  <c r="AS14"/>
  <c r="AT14" s="1"/>
  <c r="J15"/>
  <c r="R15"/>
  <c r="Z15"/>
  <c r="AH15"/>
  <c r="AP15"/>
  <c r="D16"/>
  <c r="L16"/>
  <c r="AB16"/>
  <c r="AJ16"/>
  <c r="N29" i="17"/>
  <c r="R29"/>
  <c r="O30"/>
  <c r="P31"/>
  <c r="M32"/>
  <c r="M33"/>
  <c r="M34"/>
  <c r="M35"/>
  <c r="M36"/>
  <c r="M37"/>
  <c r="M45"/>
  <c r="Q45"/>
  <c r="N46"/>
  <c r="R46"/>
  <c r="O47"/>
  <c r="P48"/>
  <c r="M49"/>
  <c r="Q49"/>
  <c r="N50"/>
  <c r="R50"/>
  <c r="O51"/>
  <c r="D5" i="23"/>
  <c r="H5"/>
  <c r="E6"/>
  <c r="I6"/>
  <c r="F7"/>
  <c r="C8"/>
  <c r="G8"/>
  <c r="D9"/>
  <c r="H9"/>
  <c r="E10"/>
  <c r="I10"/>
  <c r="F11"/>
  <c r="C12"/>
  <c r="G12"/>
  <c r="D13"/>
  <c r="H13"/>
  <c r="E14"/>
  <c r="E17"/>
  <c r="I14"/>
  <c r="I17"/>
  <c r="F15"/>
  <c r="C16"/>
  <c r="G16"/>
  <c r="D18"/>
  <c r="H18"/>
  <c r="E19"/>
  <c r="I19"/>
  <c r="F20"/>
  <c r="C21"/>
  <c r="G21"/>
  <c r="D22"/>
  <c r="H22"/>
  <c r="E23"/>
  <c r="I23"/>
  <c r="F24"/>
  <c r="C25"/>
  <c r="G25"/>
  <c r="D26"/>
  <c r="H26"/>
  <c r="E27"/>
  <c r="I27"/>
  <c r="F28"/>
  <c r="C29"/>
  <c r="G29"/>
  <c r="D30"/>
  <c r="H30"/>
  <c r="E31"/>
  <c r="I31"/>
  <c r="F32"/>
  <c r="C33"/>
  <c r="G33"/>
  <c r="D34"/>
  <c r="H34"/>
  <c r="E35"/>
  <c r="I35"/>
  <c r="F36"/>
  <c r="C37"/>
  <c r="G37"/>
  <c r="D38"/>
  <c r="H38"/>
  <c r="E39"/>
  <c r="I39"/>
  <c r="F40"/>
  <c r="C41"/>
  <c r="G41"/>
  <c r="D42"/>
  <c r="H42"/>
  <c r="E43"/>
  <c r="I43"/>
  <c r="F44"/>
  <c r="C45"/>
  <c r="G45"/>
  <c r="D46"/>
  <c r="H46"/>
  <c r="E47"/>
  <c r="I47"/>
  <c r="F48"/>
  <c r="C49"/>
  <c r="G49"/>
  <c r="D50"/>
  <c r="H50"/>
  <c r="E51"/>
  <c r="I51"/>
  <c r="F52"/>
  <c r="C53"/>
  <c r="G53"/>
  <c r="D54"/>
  <c r="H54"/>
  <c r="E55"/>
  <c r="I55"/>
  <c r="F56"/>
  <c r="G6" i="26"/>
  <c r="E18"/>
  <c r="F7"/>
  <c r="G10"/>
  <c r="F11"/>
  <c r="G25"/>
  <c r="F26"/>
  <c r="G29"/>
  <c r="F30"/>
  <c r="C54"/>
  <c r="G44"/>
  <c r="F45"/>
  <c r="G48"/>
  <c r="F49"/>
  <c r="F50"/>
  <c r="F51"/>
  <c r="F52"/>
  <c r="F53"/>
  <c r="F60"/>
  <c r="D72"/>
  <c r="F72" s="1"/>
  <c r="G63"/>
  <c r="F64"/>
  <c r="G78"/>
  <c r="E90"/>
  <c r="F79"/>
  <c r="G82"/>
  <c r="F83"/>
  <c r="G97"/>
  <c r="F98"/>
  <c r="G101"/>
  <c r="F102"/>
  <c r="C126"/>
  <c r="G116"/>
  <c r="F117"/>
  <c r="G120"/>
  <c r="F121"/>
  <c r="F122"/>
  <c r="F123"/>
  <c r="F124"/>
  <c r="F125"/>
  <c r="F132"/>
  <c r="D144"/>
  <c r="F144" s="1"/>
  <c r="G135"/>
  <c r="F136"/>
  <c r="G150"/>
  <c r="E162"/>
  <c r="F151"/>
  <c r="G154"/>
  <c r="F155"/>
  <c r="G169"/>
  <c r="F170"/>
  <c r="G173"/>
  <c r="F174"/>
  <c r="C198"/>
  <c r="G188"/>
  <c r="F189"/>
  <c r="G192"/>
  <c r="F193"/>
  <c r="F194"/>
  <c r="F195"/>
  <c r="F196"/>
  <c r="F197"/>
  <c r="F204"/>
  <c r="D216"/>
  <c r="F216" s="1"/>
  <c r="G207"/>
  <c r="F208"/>
  <c r="E234"/>
  <c r="G222"/>
  <c r="F225"/>
  <c r="G228"/>
  <c r="F230"/>
  <c r="F232"/>
  <c r="F244"/>
  <c r="E270"/>
  <c r="G258"/>
  <c r="F263"/>
  <c r="G277"/>
  <c r="F282"/>
  <c r="H7" i="27"/>
  <c r="P7"/>
  <c r="X7"/>
  <c r="AF7"/>
  <c r="AN7"/>
  <c r="AV7"/>
  <c r="AS7"/>
  <c r="J8"/>
  <c r="R8"/>
  <c r="Z8"/>
  <c r="AH8"/>
  <c r="AP8"/>
  <c r="D9"/>
  <c r="L9"/>
  <c r="AB9"/>
  <c r="AJ9"/>
  <c r="AR9"/>
  <c r="F10"/>
  <c r="N10"/>
  <c r="V10"/>
  <c r="S10"/>
  <c r="AD10"/>
  <c r="AL10"/>
  <c r="H11"/>
  <c r="P11"/>
  <c r="X11"/>
  <c r="AF11"/>
  <c r="AN11"/>
  <c r="AV11"/>
  <c r="AS11"/>
  <c r="J12"/>
  <c r="R12"/>
  <c r="Z12"/>
  <c r="AH12"/>
  <c r="AP12"/>
  <c r="D13"/>
  <c r="L13"/>
  <c r="AB13"/>
  <c r="AJ13"/>
  <c r="AR13"/>
  <c r="F14"/>
  <c r="N14"/>
  <c r="V14"/>
  <c r="S14"/>
  <c r="AD14"/>
  <c r="AL14"/>
  <c r="H15"/>
  <c r="P15"/>
  <c r="X15"/>
  <c r="AF15"/>
  <c r="AN15"/>
  <c r="AV15"/>
  <c r="AS15"/>
  <c r="AT15" s="1"/>
  <c r="J16"/>
  <c r="R16"/>
  <c r="Z16"/>
  <c r="AH16"/>
  <c r="AP16"/>
  <c r="D17"/>
  <c r="H17"/>
  <c r="L17"/>
  <c r="P17"/>
  <c r="X17"/>
  <c r="AB17"/>
  <c r="AF17"/>
  <c r="AJ17"/>
  <c r="AN17"/>
  <c r="AR17"/>
  <c r="AV17"/>
  <c r="AS17"/>
  <c r="AT17" s="1"/>
  <c r="F18"/>
  <c r="F19"/>
  <c r="J18"/>
  <c r="J19"/>
  <c r="N18"/>
  <c r="N19"/>
  <c r="R18"/>
  <c r="R19"/>
  <c r="V18"/>
  <c r="S18"/>
  <c r="V19"/>
  <c r="Z18"/>
  <c r="Z19"/>
  <c r="AD18"/>
  <c r="AD19"/>
  <c r="AH18"/>
  <c r="AH19"/>
  <c r="AL18"/>
  <c r="AL19"/>
  <c r="AP18"/>
  <c r="AP19"/>
  <c r="AS19"/>
  <c r="F20"/>
  <c r="J20"/>
  <c r="N20"/>
  <c r="R20"/>
  <c r="V20"/>
  <c r="S20"/>
  <c r="T20" s="1"/>
  <c r="Z20"/>
  <c r="AD20"/>
  <c r="AH20"/>
  <c r="AL20"/>
  <c r="AP20"/>
  <c r="D21"/>
  <c r="H21"/>
  <c r="L21"/>
  <c r="P21"/>
  <c r="X21"/>
  <c r="AB21"/>
  <c r="AF21"/>
  <c r="AJ21"/>
  <c r="AN21"/>
  <c r="AR21"/>
  <c r="AV21"/>
  <c r="AS21"/>
  <c r="F22"/>
  <c r="J22"/>
  <c r="N22"/>
  <c r="R22"/>
  <c r="V22"/>
  <c r="S22"/>
  <c r="T22" s="1"/>
  <c r="Z22"/>
  <c r="AD22"/>
  <c r="AH22"/>
  <c r="AL22"/>
  <c r="AP22"/>
  <c r="D23"/>
  <c r="H23"/>
  <c r="L23"/>
  <c r="P23"/>
  <c r="X23"/>
  <c r="AB23"/>
  <c r="AF23"/>
  <c r="AJ23"/>
  <c r="AN23"/>
  <c r="AR23"/>
  <c r="AV23"/>
  <c r="AS23"/>
  <c r="AT23" s="1"/>
  <c r="F24"/>
  <c r="J24"/>
  <c r="N24"/>
  <c r="R24"/>
  <c r="V24"/>
  <c r="S24"/>
  <c r="Z24"/>
  <c r="AD24"/>
  <c r="AH24"/>
  <c r="AL24"/>
  <c r="AP24"/>
  <c r="D25"/>
  <c r="H25"/>
  <c r="L25"/>
  <c r="P25"/>
  <c r="X25"/>
  <c r="AB25"/>
  <c r="AF25"/>
  <c r="AJ25"/>
  <c r="AN25"/>
  <c r="AR25"/>
  <c r="AV25"/>
  <c r="AS25"/>
  <c r="AT25" s="1"/>
  <c r="F26"/>
  <c r="J26"/>
  <c r="N26"/>
  <c r="R26"/>
  <c r="V26"/>
  <c r="S26"/>
  <c r="Z26"/>
  <c r="AD26"/>
  <c r="AH26"/>
  <c r="AL26"/>
  <c r="AP26"/>
  <c r="D27"/>
  <c r="H27"/>
  <c r="L27"/>
  <c r="P27"/>
  <c r="X27"/>
  <c r="AB27"/>
  <c r="AF27"/>
  <c r="AJ27"/>
  <c r="AN27"/>
  <c r="AR27"/>
  <c r="AV27"/>
  <c r="AS27"/>
  <c r="F28"/>
  <c r="J28"/>
  <c r="N28"/>
  <c r="R28"/>
  <c r="V28"/>
  <c r="S28"/>
  <c r="T28" s="1"/>
  <c r="Z28"/>
  <c r="AD28"/>
  <c r="AH28"/>
  <c r="AL28"/>
  <c r="AP28"/>
  <c r="D29"/>
  <c r="H29"/>
  <c r="L29"/>
  <c r="P29"/>
  <c r="X29"/>
  <c r="AB29"/>
  <c r="AF29"/>
  <c r="AJ29"/>
  <c r="AN29"/>
  <c r="AR29"/>
  <c r="AV29"/>
  <c r="AS29"/>
  <c r="F30"/>
  <c r="J30"/>
  <c r="N30"/>
  <c r="R30"/>
  <c r="V30"/>
  <c r="S30"/>
  <c r="T30" s="1"/>
  <c r="Z30"/>
  <c r="AD30"/>
  <c r="AH30"/>
  <c r="AL30"/>
  <c r="AP30"/>
  <c r="D31"/>
  <c r="H31"/>
  <c r="L31"/>
  <c r="P31"/>
  <c r="X31"/>
  <c r="AB31"/>
  <c r="AF31"/>
  <c r="AJ31"/>
  <c r="AN31"/>
  <c r="AR31"/>
  <c r="AV31"/>
  <c r="AS31"/>
  <c r="AT31" s="1"/>
  <c r="F32"/>
  <c r="J32"/>
  <c r="N32"/>
  <c r="R32"/>
  <c r="V32"/>
  <c r="S32"/>
  <c r="Z32"/>
  <c r="AD32"/>
  <c r="AH32"/>
  <c r="AL32"/>
  <c r="AP32"/>
  <c r="D33"/>
  <c r="H33"/>
  <c r="L33"/>
  <c r="P33"/>
  <c r="X33"/>
  <c r="AB33"/>
  <c r="AF33"/>
  <c r="AJ33"/>
  <c r="AN33"/>
  <c r="AR33"/>
  <c r="AV33"/>
  <c r="AS33"/>
  <c r="AT33" s="1"/>
  <c r="F34"/>
  <c r="J34"/>
  <c r="N34"/>
  <c r="R34"/>
  <c r="V34"/>
  <c r="S34"/>
  <c r="Z34"/>
  <c r="AD34"/>
  <c r="AH34"/>
  <c r="AL34"/>
  <c r="AP34"/>
  <c r="D35"/>
  <c r="H35"/>
  <c r="L35"/>
  <c r="P35"/>
  <c r="X35"/>
  <c r="AB35"/>
  <c r="AF35"/>
  <c r="AJ35"/>
  <c r="AN35"/>
  <c r="AR35"/>
  <c r="AV35"/>
  <c r="AS35"/>
  <c r="F36"/>
  <c r="J36"/>
  <c r="N36"/>
  <c r="R36"/>
  <c r="V36"/>
  <c r="S36"/>
  <c r="T36" s="1"/>
  <c r="Z36"/>
  <c r="AD36"/>
  <c r="AH36"/>
  <c r="AL36"/>
  <c r="AP36"/>
  <c r="D37"/>
  <c r="H37"/>
  <c r="L37"/>
  <c r="P37"/>
  <c r="X37"/>
  <c r="AB37"/>
  <c r="AF37"/>
  <c r="AJ37"/>
  <c r="AN37"/>
  <c r="AR37"/>
  <c r="AV37"/>
  <c r="AS37"/>
  <c r="F38"/>
  <c r="J38"/>
  <c r="N38"/>
  <c r="R38"/>
  <c r="V38"/>
  <c r="S38"/>
  <c r="T38" s="1"/>
  <c r="Z38"/>
  <c r="AD38"/>
  <c r="AH38"/>
  <c r="AL38"/>
  <c r="AP38"/>
  <c r="D39"/>
  <c r="H39"/>
  <c r="L39"/>
  <c r="P39"/>
  <c r="X39"/>
  <c r="AB39"/>
  <c r="AF39"/>
  <c r="AJ39"/>
  <c r="AN39"/>
  <c r="AR39"/>
  <c r="AV39"/>
  <c r="AS39"/>
  <c r="F40"/>
  <c r="J40"/>
  <c r="N40"/>
  <c r="R40"/>
  <c r="V40"/>
  <c r="S40"/>
  <c r="Z40"/>
  <c r="AD40"/>
  <c r="AH40"/>
  <c r="AL40"/>
  <c r="AP40"/>
  <c r="D41"/>
  <c r="H41"/>
  <c r="L41"/>
  <c r="P41"/>
  <c r="X41"/>
  <c r="AB41"/>
  <c r="AF41"/>
  <c r="AJ41"/>
  <c r="AN41"/>
  <c r="AR41"/>
  <c r="AV41"/>
  <c r="AS41"/>
  <c r="F42"/>
  <c r="J42"/>
  <c r="N42"/>
  <c r="R42"/>
  <c r="V42"/>
  <c r="S42"/>
  <c r="Z42"/>
  <c r="AD42"/>
  <c r="AH42"/>
  <c r="AL42"/>
  <c r="AP42"/>
  <c r="D43"/>
  <c r="H43"/>
  <c r="L43"/>
  <c r="P43"/>
  <c r="X43"/>
  <c r="AB43"/>
  <c r="AF43"/>
  <c r="AJ43"/>
  <c r="AN43"/>
  <c r="AR43"/>
  <c r="AV43"/>
  <c r="AS43"/>
  <c r="F44"/>
  <c r="J44"/>
  <c r="N44"/>
  <c r="R44"/>
  <c r="V44"/>
  <c r="S44"/>
  <c r="Z44"/>
  <c r="AD44"/>
  <c r="AH44"/>
  <c r="AL44"/>
  <c r="AP44"/>
  <c r="D45"/>
  <c r="H45"/>
  <c r="L45"/>
  <c r="P45"/>
  <c r="X45"/>
  <c r="AB45"/>
  <c r="AF45"/>
  <c r="AJ45"/>
  <c r="AN45"/>
  <c r="AR45"/>
  <c r="AV45"/>
  <c r="AS45"/>
  <c r="F46"/>
  <c r="J46"/>
  <c r="N46"/>
  <c r="R46"/>
  <c r="V46"/>
  <c r="S46"/>
  <c r="Z46"/>
  <c r="AD46"/>
  <c r="AH46"/>
  <c r="AL46"/>
  <c r="AP46"/>
  <c r="D47"/>
  <c r="H47"/>
  <c r="L47"/>
  <c r="P47"/>
  <c r="X47"/>
  <c r="AB47"/>
  <c r="AF47"/>
  <c r="AJ47"/>
  <c r="AN47"/>
  <c r="AR47"/>
  <c r="AV47"/>
  <c r="AS47"/>
  <c r="F48"/>
  <c r="J48"/>
  <c r="N48"/>
  <c r="R48"/>
  <c r="V48"/>
  <c r="S48"/>
  <c r="Z48"/>
  <c r="AD48"/>
  <c r="AH48"/>
  <c r="AL48"/>
  <c r="AV48"/>
  <c r="AS48"/>
  <c r="AT48" s="1"/>
  <c r="H49"/>
  <c r="R49"/>
  <c r="X49"/>
  <c r="AH49"/>
  <c r="AN49"/>
  <c r="D50"/>
  <c r="AV54"/>
  <c r="AS54"/>
  <c r="AT54" s="1"/>
  <c r="R55"/>
  <c r="AH55"/>
  <c r="D56"/>
  <c r="AJ56"/>
  <c r="F57"/>
  <c r="V57"/>
  <c r="S57"/>
  <c r="G223" i="26"/>
  <c r="F224"/>
  <c r="G227"/>
  <c r="F228"/>
  <c r="C252"/>
  <c r="G242"/>
  <c r="F243"/>
  <c r="G246"/>
  <c r="F247"/>
  <c r="F248"/>
  <c r="F249"/>
  <c r="F250"/>
  <c r="F251"/>
  <c r="F258"/>
  <c r="D270"/>
  <c r="F270" s="1"/>
  <c r="G261"/>
  <c r="F262"/>
  <c r="G276"/>
  <c r="E288"/>
  <c r="F277"/>
  <c r="G280"/>
  <c r="F281"/>
  <c r="AP48" i="27"/>
  <c r="F49"/>
  <c r="L49"/>
  <c r="V49"/>
  <c r="S49"/>
  <c r="AB49"/>
  <c r="AL49"/>
  <c r="AR49"/>
  <c r="H50"/>
  <c r="P50"/>
  <c r="X50"/>
  <c r="AF50"/>
  <c r="AN50"/>
  <c r="AV50"/>
  <c r="AS50"/>
  <c r="J51"/>
  <c r="R51"/>
  <c r="Z51"/>
  <c r="AH51"/>
  <c r="AP51"/>
  <c r="D52"/>
  <c r="L52"/>
  <c r="AB52"/>
  <c r="AJ52"/>
  <c r="AR52"/>
  <c r="F53"/>
  <c r="N53"/>
  <c r="V53"/>
  <c r="S53"/>
  <c r="AD53"/>
  <c r="AL53"/>
  <c r="H54"/>
  <c r="P54"/>
  <c r="X54"/>
  <c r="AF54"/>
  <c r="AR54"/>
  <c r="N55"/>
  <c r="AD55"/>
  <c r="P56"/>
  <c r="AF56"/>
  <c r="AV56"/>
  <c r="AS56"/>
  <c r="AT56" s="1"/>
  <c r="R57"/>
  <c r="AR16"/>
  <c r="AV16"/>
  <c r="AS16"/>
  <c r="AT16" s="1"/>
  <c r="F17"/>
  <c r="J17"/>
  <c r="N17"/>
  <c r="R17"/>
  <c r="V17"/>
  <c r="S17"/>
  <c r="Z17"/>
  <c r="AD17"/>
  <c r="AH17"/>
  <c r="AL17"/>
  <c r="AP17"/>
  <c r="D19"/>
  <c r="D18"/>
  <c r="H19"/>
  <c r="H18"/>
  <c r="L19"/>
  <c r="L18"/>
  <c r="P19"/>
  <c r="P18"/>
  <c r="X19"/>
  <c r="X18"/>
  <c r="AB19"/>
  <c r="AB18"/>
  <c r="AF19"/>
  <c r="AF18"/>
  <c r="AJ19"/>
  <c r="AJ18"/>
  <c r="AN19"/>
  <c r="AN18"/>
  <c r="AR19"/>
  <c r="AR18"/>
  <c r="AV19"/>
  <c r="AV18"/>
  <c r="AS18"/>
  <c r="S19"/>
  <c r="D20"/>
  <c r="H20"/>
  <c r="L20"/>
  <c r="P20"/>
  <c r="X20"/>
  <c r="AB20"/>
  <c r="AF20"/>
  <c r="AJ20"/>
  <c r="AN20"/>
  <c r="AR20"/>
  <c r="AV20"/>
  <c r="AS20"/>
  <c r="F21"/>
  <c r="J21"/>
  <c r="N21"/>
  <c r="R21"/>
  <c r="V21"/>
  <c r="S21"/>
  <c r="T21" s="1"/>
  <c r="Z21"/>
  <c r="AD21"/>
  <c r="AH21"/>
  <c r="AL21"/>
  <c r="AP21"/>
  <c r="D22"/>
  <c r="H22"/>
  <c r="L22"/>
  <c r="P22"/>
  <c r="X22"/>
  <c r="AB22"/>
  <c r="AF22"/>
  <c r="AJ22"/>
  <c r="AN22"/>
  <c r="AR22"/>
  <c r="AV22"/>
  <c r="AS22"/>
  <c r="AT22" s="1"/>
  <c r="F23"/>
  <c r="J23"/>
  <c r="N23"/>
  <c r="R23"/>
  <c r="V23"/>
  <c r="S23"/>
  <c r="T23" s="1"/>
  <c r="Z23"/>
  <c r="AD23"/>
  <c r="AH23"/>
  <c r="AL23"/>
  <c r="AP23"/>
  <c r="D24"/>
  <c r="H24"/>
  <c r="L24"/>
  <c r="P24"/>
  <c r="X24"/>
  <c r="AB24"/>
  <c r="AF24"/>
  <c r="AJ24"/>
  <c r="AN24"/>
  <c r="AR24"/>
  <c r="AV24"/>
  <c r="AS24"/>
  <c r="AT24" s="1"/>
  <c r="F25"/>
  <c r="J25"/>
  <c r="N25"/>
  <c r="R25"/>
  <c r="V25"/>
  <c r="S25"/>
  <c r="Z25"/>
  <c r="AD25"/>
  <c r="AH25"/>
  <c r="AL25"/>
  <c r="AP25"/>
  <c r="D26"/>
  <c r="H26"/>
  <c r="L26"/>
  <c r="P26"/>
  <c r="X26"/>
  <c r="AB26"/>
  <c r="AF26"/>
  <c r="AJ26"/>
  <c r="AN26"/>
  <c r="AR26"/>
  <c r="AV26"/>
  <c r="AS26"/>
  <c r="AT26" s="1"/>
  <c r="F27"/>
  <c r="J27"/>
  <c r="N27"/>
  <c r="R27"/>
  <c r="V27"/>
  <c r="S27"/>
  <c r="T27" s="1"/>
  <c r="Z27"/>
  <c r="AD27"/>
  <c r="AH27"/>
  <c r="AL27"/>
  <c r="AP27"/>
  <c r="D28"/>
  <c r="H28"/>
  <c r="L28"/>
  <c r="P28"/>
  <c r="X28"/>
  <c r="AB28"/>
  <c r="AF28"/>
  <c r="AJ28"/>
  <c r="AN28"/>
  <c r="AR28"/>
  <c r="AV28"/>
  <c r="AS28"/>
  <c r="F29"/>
  <c r="J29"/>
  <c r="N29"/>
  <c r="R29"/>
  <c r="V29"/>
  <c r="S29"/>
  <c r="T29" s="1"/>
  <c r="Z29"/>
  <c r="AD29"/>
  <c r="AH29"/>
  <c r="AL29"/>
  <c r="AP29"/>
  <c r="D30"/>
  <c r="H30"/>
  <c r="L30"/>
  <c r="P30"/>
  <c r="X30"/>
  <c r="AB30"/>
  <c r="AF30"/>
  <c r="AJ30"/>
  <c r="AN30"/>
  <c r="AR30"/>
  <c r="AV30"/>
  <c r="AS30"/>
  <c r="AT30" s="1"/>
  <c r="F31"/>
  <c r="J31"/>
  <c r="N31"/>
  <c r="R31"/>
  <c r="V31"/>
  <c r="S31"/>
  <c r="T31" s="1"/>
  <c r="Z31"/>
  <c r="AD31"/>
  <c r="AH31"/>
  <c r="AL31"/>
  <c r="AP31"/>
  <c r="D32"/>
  <c r="H32"/>
  <c r="L32"/>
  <c r="P32"/>
  <c r="X32"/>
  <c r="AB32"/>
  <c r="AF32"/>
  <c r="AJ32"/>
  <c r="AN32"/>
  <c r="AR32"/>
  <c r="AV32"/>
  <c r="AS32"/>
  <c r="AT32" s="1"/>
  <c r="F33"/>
  <c r="J33"/>
  <c r="N33"/>
  <c r="R33"/>
  <c r="V33"/>
  <c r="S33"/>
  <c r="Z33"/>
  <c r="AD33"/>
  <c r="AH33"/>
  <c r="AL33"/>
  <c r="AP33"/>
  <c r="D34"/>
  <c r="H34"/>
  <c r="L34"/>
  <c r="P34"/>
  <c r="X34"/>
  <c r="AB34"/>
  <c r="AF34"/>
  <c r="AJ34"/>
  <c r="AN34"/>
  <c r="AR34"/>
  <c r="AV34"/>
  <c r="AS34"/>
  <c r="AT34" s="1"/>
  <c r="F35"/>
  <c r="J35"/>
  <c r="N35"/>
  <c r="R35"/>
  <c r="V35"/>
  <c r="S35"/>
  <c r="T35" s="1"/>
  <c r="Z35"/>
  <c r="AD35"/>
  <c r="AH35"/>
  <c r="AL35"/>
  <c r="AP35"/>
  <c r="D36"/>
  <c r="H36"/>
  <c r="L36"/>
  <c r="P36"/>
  <c r="X36"/>
  <c r="AB36"/>
  <c r="AF36"/>
  <c r="AJ36"/>
  <c r="AN36"/>
  <c r="AR36"/>
  <c r="AV36"/>
  <c r="AS36"/>
  <c r="F37"/>
  <c r="J37"/>
  <c r="N37"/>
  <c r="R37"/>
  <c r="V37"/>
  <c r="S37"/>
  <c r="Z37"/>
  <c r="AD37"/>
  <c r="AH37"/>
  <c r="AL37"/>
  <c r="AP37"/>
  <c r="D38"/>
  <c r="H38"/>
  <c r="L38"/>
  <c r="P38"/>
  <c r="X38"/>
  <c r="AB38"/>
  <c r="AF38"/>
  <c r="AJ38"/>
  <c r="AN38"/>
  <c r="AR38"/>
  <c r="AV38"/>
  <c r="AS38"/>
  <c r="F39"/>
  <c r="J39"/>
  <c r="N39"/>
  <c r="R39"/>
  <c r="V39"/>
  <c r="S39"/>
  <c r="Z39"/>
  <c r="AD39"/>
  <c r="AH39"/>
  <c r="AL39"/>
  <c r="AP39"/>
  <c r="D40"/>
  <c r="H40"/>
  <c r="L40"/>
  <c r="P40"/>
  <c r="X40"/>
  <c r="AB40"/>
  <c r="AF40"/>
  <c r="AJ40"/>
  <c r="AN40"/>
  <c r="AR40"/>
  <c r="AV40"/>
  <c r="AS40"/>
  <c r="F41"/>
  <c r="J41"/>
  <c r="N41"/>
  <c r="R41"/>
  <c r="V41"/>
  <c r="S41"/>
  <c r="Z41"/>
  <c r="AD41"/>
  <c r="AH41"/>
  <c r="AL41"/>
  <c r="AP41"/>
  <c r="D42"/>
  <c r="H42"/>
  <c r="L42"/>
  <c r="P42"/>
  <c r="X42"/>
  <c r="AB42"/>
  <c r="AF42"/>
  <c r="AJ42"/>
  <c r="AN42"/>
  <c r="AR42"/>
  <c r="AV42"/>
  <c r="AS42"/>
  <c r="F43"/>
  <c r="J43"/>
  <c r="N43"/>
  <c r="R43"/>
  <c r="V43"/>
  <c r="S43"/>
  <c r="Z43"/>
  <c r="AD43"/>
  <c r="AH43"/>
  <c r="AL43"/>
  <c r="AP43"/>
  <c r="D44"/>
  <c r="H44"/>
  <c r="L44"/>
  <c r="P44"/>
  <c r="X44"/>
  <c r="AB44"/>
  <c r="AF44"/>
  <c r="AJ44"/>
  <c r="AN44"/>
  <c r="AR44"/>
  <c r="AV44"/>
  <c r="AS44"/>
  <c r="F45"/>
  <c r="J45"/>
  <c r="N45"/>
  <c r="R45"/>
  <c r="V45"/>
  <c r="S45"/>
  <c r="T45" s="1"/>
  <c r="Z45"/>
  <c r="AD45"/>
  <c r="AH45"/>
  <c r="AL45"/>
  <c r="AP45"/>
  <c r="D46"/>
  <c r="H46"/>
  <c r="L46"/>
  <c r="P46"/>
  <c r="X46"/>
  <c r="AB46"/>
  <c r="AF46"/>
  <c r="AJ46"/>
  <c r="AN46"/>
  <c r="AR46"/>
  <c r="AV46"/>
  <c r="AS46"/>
  <c r="F47"/>
  <c r="J47"/>
  <c r="N47"/>
  <c r="R47"/>
  <c r="V47"/>
  <c r="S47"/>
  <c r="Z47"/>
  <c r="AD47"/>
  <c r="AH47"/>
  <c r="AL47"/>
  <c r="AP47"/>
  <c r="D48"/>
  <c r="H48"/>
  <c r="L48"/>
  <c r="P48"/>
  <c r="X48"/>
  <c r="AB48"/>
  <c r="AF48"/>
  <c r="AJ48"/>
  <c r="AN48"/>
  <c r="J49"/>
  <c r="P49"/>
  <c r="Z49"/>
  <c r="AF49"/>
  <c r="AP49"/>
  <c r="AS49"/>
  <c r="AV49"/>
  <c r="AN54"/>
  <c r="J55"/>
  <c r="Z55"/>
  <c r="AP55"/>
  <c r="L56"/>
  <c r="AB56"/>
  <c r="AR56"/>
  <c r="N57"/>
  <c r="G225" i="26"/>
  <c r="F226"/>
  <c r="G240"/>
  <c r="E252"/>
  <c r="F241"/>
  <c r="G244"/>
  <c r="F245"/>
  <c r="G259"/>
  <c r="F260"/>
  <c r="G263"/>
  <c r="F264"/>
  <c r="C288"/>
  <c r="G278"/>
  <c r="F279"/>
  <c r="G282"/>
  <c r="F283"/>
  <c r="F284"/>
  <c r="F285"/>
  <c r="F286"/>
  <c r="F287"/>
  <c r="AR48" i="27"/>
  <c r="D49"/>
  <c r="N49"/>
  <c r="AD49"/>
  <c r="AJ49"/>
  <c r="F50"/>
  <c r="L50"/>
  <c r="AB50"/>
  <c r="AJ50"/>
  <c r="AR50"/>
  <c r="F51"/>
  <c r="N51"/>
  <c r="V51"/>
  <c r="S51"/>
  <c r="AD51"/>
  <c r="AL51"/>
  <c r="H52"/>
  <c r="P52"/>
  <c r="X52"/>
  <c r="AF52"/>
  <c r="AN52"/>
  <c r="AV52"/>
  <c r="AS52"/>
  <c r="J53"/>
  <c r="R53"/>
  <c r="Z53"/>
  <c r="AH53"/>
  <c r="AP53"/>
  <c r="D54"/>
  <c r="L54"/>
  <c r="AB54"/>
  <c r="AJ54"/>
  <c r="F55"/>
  <c r="V55"/>
  <c r="S55"/>
  <c r="AL55"/>
  <c r="H56"/>
  <c r="X56"/>
  <c r="AN56"/>
  <c r="J57"/>
  <c r="J50"/>
  <c r="N50"/>
  <c r="R50"/>
  <c r="S50"/>
  <c r="T50" s="1"/>
  <c r="V50"/>
  <c r="Z50"/>
  <c r="AD50"/>
  <c r="AH50"/>
  <c r="AL50"/>
  <c r="AP50"/>
  <c r="D51"/>
  <c r="H51"/>
  <c r="L51"/>
  <c r="P51"/>
  <c r="X51"/>
  <c r="AB51"/>
  <c r="AF51"/>
  <c r="AJ51"/>
  <c r="AN51"/>
  <c r="AR51"/>
  <c r="AS51"/>
  <c r="AV51"/>
  <c r="F52"/>
  <c r="J52"/>
  <c r="N52"/>
  <c r="R52"/>
  <c r="S52"/>
  <c r="V52"/>
  <c r="Z52"/>
  <c r="AD52"/>
  <c r="AH52"/>
  <c r="AL52"/>
  <c r="AP52"/>
  <c r="D53"/>
  <c r="H53"/>
  <c r="L53"/>
  <c r="P53"/>
  <c r="X53"/>
  <c r="AB53"/>
  <c r="AF53"/>
  <c r="AJ53"/>
  <c r="AN53"/>
  <c r="AR53"/>
  <c r="AS53"/>
  <c r="AT53" s="1"/>
  <c r="AV53"/>
  <c r="F54"/>
  <c r="J54"/>
  <c r="N54"/>
  <c r="R54"/>
  <c r="S54"/>
  <c r="V54"/>
  <c r="Z54"/>
  <c r="AD54"/>
  <c r="AH54"/>
  <c r="AL54"/>
  <c r="AP54"/>
  <c r="D55"/>
  <c r="H55"/>
  <c r="L55"/>
  <c r="P55"/>
  <c r="X55"/>
  <c r="AB55"/>
  <c r="AF55"/>
  <c r="AJ55"/>
  <c r="AN55"/>
  <c r="AR55"/>
  <c r="AV55"/>
  <c r="AS55"/>
  <c r="F56"/>
  <c r="J56"/>
  <c r="N56"/>
  <c r="R56"/>
  <c r="V56"/>
  <c r="S56"/>
  <c r="Z56"/>
  <c r="AD56"/>
  <c r="AH56"/>
  <c r="AL56"/>
  <c r="AP56"/>
  <c r="D57"/>
  <c r="H57"/>
  <c r="L57"/>
  <c r="P57"/>
  <c r="X57"/>
  <c r="AB57"/>
  <c r="AF57"/>
  <c r="AJ57"/>
  <c r="AN57"/>
  <c r="AR57"/>
  <c r="AV57"/>
  <c r="AS57"/>
  <c r="F58"/>
  <c r="J58"/>
  <c r="N58"/>
  <c r="R58"/>
  <c r="V58"/>
  <c r="S58"/>
  <c r="Z58"/>
  <c r="AD58"/>
  <c r="AH58"/>
  <c r="AL58"/>
  <c r="AP58"/>
  <c r="D59"/>
  <c r="H59"/>
  <c r="L59"/>
  <c r="P59"/>
  <c r="X59"/>
  <c r="AB59"/>
  <c r="AF59"/>
  <c r="AJ59"/>
  <c r="AN59"/>
  <c r="AR59"/>
  <c r="AV59"/>
  <c r="AS59"/>
  <c r="AT59" s="1"/>
  <c r="F60"/>
  <c r="J60"/>
  <c r="N60"/>
  <c r="R60"/>
  <c r="V60"/>
  <c r="S60"/>
  <c r="T60" s="1"/>
  <c r="Z60"/>
  <c r="AD60"/>
  <c r="AH60"/>
  <c r="AL60"/>
  <c r="AP60"/>
  <c r="D61"/>
  <c r="H61"/>
  <c r="L61"/>
  <c r="P61"/>
  <c r="X61"/>
  <c r="AB61"/>
  <c r="AF61"/>
  <c r="AJ61"/>
  <c r="AN61"/>
  <c r="AR61"/>
  <c r="AV61"/>
  <c r="AS61"/>
  <c r="AT61" s="1"/>
  <c r="F62"/>
  <c r="J62"/>
  <c r="N62"/>
  <c r="R62"/>
  <c r="V62"/>
  <c r="S62"/>
  <c r="T62" s="1"/>
  <c r="Z62"/>
  <c r="AD62"/>
  <c r="AH62"/>
  <c r="AL62"/>
  <c r="AP62"/>
  <c r="D63"/>
  <c r="H63"/>
  <c r="L63"/>
  <c r="P63"/>
  <c r="X63"/>
  <c r="AB63"/>
  <c r="AF63"/>
  <c r="AJ63"/>
  <c r="AN63"/>
  <c r="AR63"/>
  <c r="AV63"/>
  <c r="AS63"/>
  <c r="AT63" s="1"/>
  <c r="F64"/>
  <c r="J64"/>
  <c r="N64"/>
  <c r="R64"/>
  <c r="V64"/>
  <c r="S64"/>
  <c r="T64" s="1"/>
  <c r="Z64"/>
  <c r="AD64"/>
  <c r="AH64"/>
  <c r="AL64"/>
  <c r="AP64"/>
  <c r="D65"/>
  <c r="H65"/>
  <c r="L65"/>
  <c r="P65"/>
  <c r="X65"/>
  <c r="AB65"/>
  <c r="AF65"/>
  <c r="AJ65"/>
  <c r="AN65"/>
  <c r="AR65"/>
  <c r="AV65"/>
  <c r="AS65"/>
  <c r="AT65" s="1"/>
  <c r="F66"/>
  <c r="J66"/>
  <c r="N66"/>
  <c r="R66"/>
  <c r="V66"/>
  <c r="S66"/>
  <c r="T66" s="1"/>
  <c r="Z66"/>
  <c r="AD66"/>
  <c r="AH66"/>
  <c r="AL66"/>
  <c r="AP66"/>
  <c r="D67"/>
  <c r="H67"/>
  <c r="L67"/>
  <c r="P67"/>
  <c r="X67"/>
  <c r="AB67"/>
  <c r="AF67"/>
  <c r="AJ67"/>
  <c r="AN67"/>
  <c r="AR67"/>
  <c r="AV67"/>
  <c r="AS67"/>
  <c r="AT67" s="1"/>
  <c r="F68"/>
  <c r="J68"/>
  <c r="N68"/>
  <c r="R68"/>
  <c r="V68"/>
  <c r="S68"/>
  <c r="T68" s="1"/>
  <c r="Z68"/>
  <c r="AD68"/>
  <c r="AH68"/>
  <c r="AL68"/>
  <c r="AP68"/>
  <c r="D69"/>
  <c r="H69"/>
  <c r="L69"/>
  <c r="P69"/>
  <c r="X69"/>
  <c r="AB69"/>
  <c r="AF69"/>
  <c r="AJ69"/>
  <c r="AN69"/>
  <c r="AR69"/>
  <c r="AV69"/>
  <c r="AS69"/>
  <c r="AT69" s="1"/>
  <c r="F70"/>
  <c r="J70"/>
  <c r="N70"/>
  <c r="R70"/>
  <c r="V70"/>
  <c r="S70"/>
  <c r="T70" s="1"/>
  <c r="Z70"/>
  <c r="AD70"/>
  <c r="AH70"/>
  <c r="AL70"/>
  <c r="AP70"/>
  <c r="D71"/>
  <c r="H71"/>
  <c r="L71"/>
  <c r="P71"/>
  <c r="X71"/>
  <c r="AB71"/>
  <c r="AF71"/>
  <c r="AJ71"/>
  <c r="AN71"/>
  <c r="AR71"/>
  <c r="AV71"/>
  <c r="AS71"/>
  <c r="AT71" s="1"/>
  <c r="D6" i="29"/>
  <c r="D7"/>
  <c r="D8"/>
  <c r="D9"/>
  <c r="D10"/>
  <c r="D11"/>
  <c r="D12"/>
  <c r="D13"/>
  <c r="D15"/>
  <c r="D14" i="28"/>
  <c r="D14" i="29" s="1"/>
  <c r="D16"/>
  <c r="D17"/>
  <c r="D18"/>
  <c r="D19"/>
  <c r="D20"/>
  <c r="D21"/>
  <c r="D22"/>
  <c r="D23"/>
  <c r="D24"/>
  <c r="D25"/>
  <c r="D26"/>
  <c r="D28"/>
  <c r="D27" i="28"/>
  <c r="D27" i="29" s="1"/>
  <c r="F11" i="35"/>
  <c r="C12"/>
  <c r="G12"/>
  <c r="D13"/>
  <c r="H13"/>
  <c r="E14"/>
  <c r="I14"/>
  <c r="F15"/>
  <c r="C16"/>
  <c r="G16"/>
  <c r="D17"/>
  <c r="H17"/>
  <c r="E18"/>
  <c r="I18"/>
  <c r="C19" i="32"/>
  <c r="C19" i="35" s="1"/>
  <c r="C20"/>
  <c r="G19" i="32"/>
  <c r="G19" i="35" s="1"/>
  <c r="G20"/>
  <c r="D21"/>
  <c r="H21"/>
  <c r="E22"/>
  <c r="I22"/>
  <c r="F23"/>
  <c r="C24"/>
  <c r="G24"/>
  <c r="D25"/>
  <c r="H25"/>
  <c r="E26"/>
  <c r="I26"/>
  <c r="F27"/>
  <c r="C28"/>
  <c r="G28"/>
  <c r="D29"/>
  <c r="H29"/>
  <c r="E30"/>
  <c r="I30"/>
  <c r="F31"/>
  <c r="D32" i="32"/>
  <c r="D32" i="35" s="1"/>
  <c r="D33"/>
  <c r="H32" i="32"/>
  <c r="H32" i="35" s="1"/>
  <c r="H33"/>
  <c r="E11"/>
  <c r="I11"/>
  <c r="F12"/>
  <c r="C13"/>
  <c r="G13"/>
  <c r="D14"/>
  <c r="H14"/>
  <c r="E15"/>
  <c r="I15"/>
  <c r="F16"/>
  <c r="C17"/>
  <c r="G17"/>
  <c r="D18"/>
  <c r="H18"/>
  <c r="F20"/>
  <c r="F19" i="32"/>
  <c r="F19" i="35" s="1"/>
  <c r="C21"/>
  <c r="G21"/>
  <c r="D22"/>
  <c r="H22"/>
  <c r="E23"/>
  <c r="I23"/>
  <c r="F24"/>
  <c r="C25"/>
  <c r="G25"/>
  <c r="D26"/>
  <c r="H26"/>
  <c r="E27"/>
  <c r="I27"/>
  <c r="F28"/>
  <c r="C29"/>
  <c r="G29"/>
  <c r="D30"/>
  <c r="H30"/>
  <c r="E31"/>
  <c r="I31"/>
  <c r="C33"/>
  <c r="C32" i="32"/>
  <c r="C32" i="35" s="1"/>
  <c r="G33"/>
  <c r="G32" i="32"/>
  <c r="G32" i="35" s="1"/>
  <c r="Z57" i="27"/>
  <c r="AD57"/>
  <c r="AH57"/>
  <c r="AL57"/>
  <c r="AP57"/>
  <c r="D58"/>
  <c r="H58"/>
  <c r="L58"/>
  <c r="P58"/>
  <c r="X58"/>
  <c r="AB58"/>
  <c r="AF58"/>
  <c r="AJ58"/>
  <c r="AN58"/>
  <c r="AR58"/>
  <c r="AV58"/>
  <c r="AS58"/>
  <c r="F59"/>
  <c r="J59"/>
  <c r="N59"/>
  <c r="R59"/>
  <c r="V59"/>
  <c r="S59"/>
  <c r="T59" s="1"/>
  <c r="Z59"/>
  <c r="AD59"/>
  <c r="AH59"/>
  <c r="AL59"/>
  <c r="AP59"/>
  <c r="D60"/>
  <c r="H60"/>
  <c r="L60"/>
  <c r="P60"/>
  <c r="X60"/>
  <c r="AB60"/>
  <c r="AF60"/>
  <c r="AJ60"/>
  <c r="AN60"/>
  <c r="AR60"/>
  <c r="AV60"/>
  <c r="AS60"/>
  <c r="AT60" s="1"/>
  <c r="F61"/>
  <c r="J61"/>
  <c r="N61"/>
  <c r="R61"/>
  <c r="V61"/>
  <c r="S61"/>
  <c r="T61" s="1"/>
  <c r="Z61"/>
  <c r="AD61"/>
  <c r="AH61"/>
  <c r="AL61"/>
  <c r="AP61"/>
  <c r="D62"/>
  <c r="H62"/>
  <c r="L62"/>
  <c r="P62"/>
  <c r="X62"/>
  <c r="AB62"/>
  <c r="AF62"/>
  <c r="AJ62"/>
  <c r="AN62"/>
  <c r="AR62"/>
  <c r="AV62"/>
  <c r="AS62"/>
  <c r="AT62" s="1"/>
  <c r="F63"/>
  <c r="J63"/>
  <c r="N63"/>
  <c r="R63"/>
  <c r="V63"/>
  <c r="S63"/>
  <c r="T63" s="1"/>
  <c r="Z63"/>
  <c r="AD63"/>
  <c r="AH63"/>
  <c r="AL63"/>
  <c r="AP63"/>
  <c r="D64"/>
  <c r="H64"/>
  <c r="L64"/>
  <c r="P64"/>
  <c r="X64"/>
  <c r="AB64"/>
  <c r="AF64"/>
  <c r="AJ64"/>
  <c r="AN64"/>
  <c r="AR64"/>
  <c r="AV64"/>
  <c r="AS64"/>
  <c r="AT64" s="1"/>
  <c r="F65"/>
  <c r="J65"/>
  <c r="N65"/>
  <c r="R65"/>
  <c r="V65"/>
  <c r="S65"/>
  <c r="T65" s="1"/>
  <c r="Z65"/>
  <c r="AD65"/>
  <c r="AH65"/>
  <c r="AL65"/>
  <c r="AP65"/>
  <c r="D66"/>
  <c r="H66"/>
  <c r="L66"/>
  <c r="P66"/>
  <c r="X66"/>
  <c r="AB66"/>
  <c r="AF66"/>
  <c r="AJ66"/>
  <c r="AN66"/>
  <c r="AR66"/>
  <c r="AV66"/>
  <c r="AS66"/>
  <c r="AT66" s="1"/>
  <c r="F67"/>
  <c r="J67"/>
  <c r="N67"/>
  <c r="R67"/>
  <c r="V67"/>
  <c r="S67"/>
  <c r="T67" s="1"/>
  <c r="Z67"/>
  <c r="AD67"/>
  <c r="AH67"/>
  <c r="AL67"/>
  <c r="AP67"/>
  <c r="D68"/>
  <c r="H68"/>
  <c r="L68"/>
  <c r="P68"/>
  <c r="X68"/>
  <c r="AB68"/>
  <c r="AF68"/>
  <c r="AJ68"/>
  <c r="AN68"/>
  <c r="AR68"/>
  <c r="AV68"/>
  <c r="AS68"/>
  <c r="AT68" s="1"/>
  <c r="F69"/>
  <c r="J69"/>
  <c r="N69"/>
  <c r="R69"/>
  <c r="V69"/>
  <c r="S69"/>
  <c r="T69" s="1"/>
  <c r="Z69"/>
  <c r="AD69"/>
  <c r="AH69"/>
  <c r="AL69"/>
  <c r="AP69"/>
  <c r="D70"/>
  <c r="H70"/>
  <c r="L70"/>
  <c r="P70"/>
  <c r="X70"/>
  <c r="AB70"/>
  <c r="AF70"/>
  <c r="AJ70"/>
  <c r="AN70"/>
  <c r="AR70"/>
  <c r="AV70"/>
  <c r="AS70"/>
  <c r="AT70" s="1"/>
  <c r="F71"/>
  <c r="J71"/>
  <c r="N71"/>
  <c r="R71"/>
  <c r="V71"/>
  <c r="S71"/>
  <c r="T71" s="1"/>
  <c r="Z71"/>
  <c r="AD71"/>
  <c r="AH71"/>
  <c r="AL71"/>
  <c r="AP71"/>
  <c r="D11" i="35"/>
  <c r="H11"/>
  <c r="E12"/>
  <c r="I12"/>
  <c r="F13"/>
  <c r="C14"/>
  <c r="G14"/>
  <c r="D15"/>
  <c r="H15"/>
  <c r="E16"/>
  <c r="I16"/>
  <c r="F17"/>
  <c r="C18"/>
  <c r="G18"/>
  <c r="E19" i="32"/>
  <c r="E19" i="35" s="1"/>
  <c r="E20"/>
  <c r="I19" i="32"/>
  <c r="I19" i="35" s="1"/>
  <c r="I20"/>
  <c r="F21"/>
  <c r="C22"/>
  <c r="G22"/>
  <c r="D23"/>
  <c r="H23"/>
  <c r="E24"/>
  <c r="I24"/>
  <c r="F25"/>
  <c r="C26"/>
  <c r="G26"/>
  <c r="D27"/>
  <c r="H27"/>
  <c r="E28"/>
  <c r="I28"/>
  <c r="F29"/>
  <c r="C30"/>
  <c r="G30"/>
  <c r="D31"/>
  <c r="H31"/>
  <c r="F32" i="32"/>
  <c r="F32" i="35" s="1"/>
  <c r="F33"/>
  <c r="F6" i="28"/>
  <c r="E6" i="29"/>
  <c r="G6" i="28"/>
  <c r="E7" i="29"/>
  <c r="F7" i="28"/>
  <c r="G7"/>
  <c r="F8"/>
  <c r="E8" i="29"/>
  <c r="G8" i="28"/>
  <c r="E9" i="29"/>
  <c r="F9" i="28"/>
  <c r="G9"/>
  <c r="F10"/>
  <c r="E10" i="29"/>
  <c r="G10" i="28"/>
  <c r="E11" i="29"/>
  <c r="F11" i="28"/>
  <c r="G11"/>
  <c r="F12"/>
  <c r="E12" i="29"/>
  <c r="G12" i="28"/>
  <c r="E13" i="29"/>
  <c r="F13" i="28"/>
  <c r="G13"/>
  <c r="E15" i="29"/>
  <c r="E14" i="28"/>
  <c r="F15"/>
  <c r="G15"/>
  <c r="F16"/>
  <c r="E16" i="29"/>
  <c r="G16" i="28"/>
  <c r="E17" i="29"/>
  <c r="F17" i="28"/>
  <c r="G17"/>
  <c r="F18"/>
  <c r="E18" i="29"/>
  <c r="G18" i="28"/>
  <c r="E19" i="29"/>
  <c r="F19" i="28"/>
  <c r="G19"/>
  <c r="F20"/>
  <c r="E20" i="29"/>
  <c r="G20" i="28"/>
  <c r="E21" i="29"/>
  <c r="F21" i="28"/>
  <c r="G21"/>
  <c r="F22"/>
  <c r="E22" i="29"/>
  <c r="G22" i="28"/>
  <c r="E23" i="29"/>
  <c r="F23" i="28"/>
  <c r="G23"/>
  <c r="F24"/>
  <c r="E24" i="29"/>
  <c r="G24" i="28"/>
  <c r="E25" i="29"/>
  <c r="F25" i="28"/>
  <c r="G25"/>
  <c r="F26"/>
  <c r="E26" i="29"/>
  <c r="G26" i="28"/>
  <c r="E27"/>
  <c r="F28"/>
  <c r="E28" i="29"/>
  <c r="G28" i="28"/>
  <c r="C11" i="35"/>
  <c r="G11"/>
  <c r="D12"/>
  <c r="H12"/>
  <c r="E13"/>
  <c r="I13"/>
  <c r="F14"/>
  <c r="C15"/>
  <c r="G15"/>
  <c r="D16"/>
  <c r="H16"/>
  <c r="E17"/>
  <c r="I17"/>
  <c r="F18"/>
  <c r="D19" i="32"/>
  <c r="D19" i="35" s="1"/>
  <c r="D20"/>
  <c r="H19" i="32"/>
  <c r="H19" i="35" s="1"/>
  <c r="H20"/>
  <c r="E21"/>
  <c r="I21"/>
  <c r="F22"/>
  <c r="C23"/>
  <c r="G23"/>
  <c r="D24"/>
  <c r="H24"/>
  <c r="E25"/>
  <c r="I25"/>
  <c r="F26"/>
  <c r="C27"/>
  <c r="G27"/>
  <c r="D28"/>
  <c r="H28"/>
  <c r="E29"/>
  <c r="I29"/>
  <c r="F30"/>
  <c r="C31"/>
  <c r="G31"/>
  <c r="E32" i="32"/>
  <c r="E32" i="35" s="1"/>
  <c r="E33"/>
  <c r="I32" i="32"/>
  <c r="I32" i="35" s="1"/>
  <c r="I33"/>
  <c r="D34" i="37"/>
  <c r="E34"/>
  <c r="F34"/>
  <c r="D35"/>
  <c r="E35"/>
  <c r="F35"/>
  <c r="D36"/>
  <c r="E36"/>
  <c r="F36"/>
  <c r="D37"/>
  <c r="E37"/>
  <c r="F37"/>
  <c r="D38"/>
  <c r="E38"/>
  <c r="F38"/>
  <c r="D39"/>
  <c r="E39"/>
  <c r="F39"/>
  <c r="D40"/>
  <c r="E40"/>
  <c r="F40"/>
  <c r="D41"/>
  <c r="E41"/>
  <c r="F41"/>
  <c r="D42"/>
  <c r="E42"/>
  <c r="F42"/>
  <c r="D43"/>
  <c r="E43"/>
  <c r="F43"/>
  <c r="D44"/>
  <c r="E44"/>
  <c r="F44"/>
  <c r="E45"/>
  <c r="F45"/>
  <c r="D50"/>
  <c r="E50"/>
  <c r="D54"/>
  <c r="E54"/>
  <c r="E58"/>
  <c r="F6" i="41"/>
  <c r="J6"/>
  <c r="E7"/>
  <c r="I7"/>
  <c r="D8"/>
  <c r="H8"/>
  <c r="L8"/>
  <c r="G9"/>
  <c r="K9"/>
  <c r="F10"/>
  <c r="J10"/>
  <c r="E11"/>
  <c r="I11"/>
  <c r="D12"/>
  <c r="H12"/>
  <c r="L12"/>
  <c r="G13"/>
  <c r="K13"/>
  <c r="F14"/>
  <c r="J14"/>
  <c r="E15"/>
  <c r="I15"/>
  <c r="D16"/>
  <c r="H16"/>
  <c r="L16"/>
  <c r="G17"/>
  <c r="G18"/>
  <c r="K17"/>
  <c r="K18"/>
  <c r="D19"/>
  <c r="H19"/>
  <c r="L19"/>
  <c r="G20"/>
  <c r="K20"/>
  <c r="F21"/>
  <c r="J21"/>
  <c r="E22"/>
  <c r="I22"/>
  <c r="D23"/>
  <c r="H23"/>
  <c r="L23"/>
  <c r="G24"/>
  <c r="K24"/>
  <c r="F25"/>
  <c r="J25"/>
  <c r="E26"/>
  <c r="I26"/>
  <c r="D27"/>
  <c r="H27"/>
  <c r="L27"/>
  <c r="G28"/>
  <c r="K28"/>
  <c r="F29"/>
  <c r="J29"/>
  <c r="E30"/>
  <c r="I30"/>
  <c r="D31"/>
  <c r="H31"/>
  <c r="L31"/>
  <c r="G32"/>
  <c r="K32"/>
  <c r="F33"/>
  <c r="J33"/>
  <c r="E34"/>
  <c r="I34"/>
  <c r="D35"/>
  <c r="H35"/>
  <c r="L35"/>
  <c r="G36"/>
  <c r="K36"/>
  <c r="F37"/>
  <c r="J37"/>
  <c r="E38"/>
  <c r="I38"/>
  <c r="D39"/>
  <c r="H39"/>
  <c r="L39"/>
  <c r="G40"/>
  <c r="K40"/>
  <c r="F41"/>
  <c r="J41"/>
  <c r="E42"/>
  <c r="I42"/>
  <c r="D43"/>
  <c r="H43"/>
  <c r="L43"/>
  <c r="G44"/>
  <c r="K44"/>
  <c r="F45"/>
  <c r="J45"/>
  <c r="E46"/>
  <c r="I46"/>
  <c r="D47"/>
  <c r="H47"/>
  <c r="L47"/>
  <c r="G48"/>
  <c r="K48"/>
  <c r="F49"/>
  <c r="J49"/>
  <c r="E50"/>
  <c r="I50"/>
  <c r="D51"/>
  <c r="H51"/>
  <c r="L51"/>
  <c r="G52"/>
  <c r="K52"/>
  <c r="F53"/>
  <c r="J53"/>
  <c r="E54"/>
  <c r="I54"/>
  <c r="D55"/>
  <c r="H55"/>
  <c r="L55"/>
  <c r="G56"/>
  <c r="K56"/>
  <c r="F57"/>
  <c r="J57"/>
  <c r="I5" i="43"/>
  <c r="J6"/>
  <c r="D8"/>
  <c r="E9"/>
  <c r="F10"/>
  <c r="G11"/>
  <c r="H12"/>
  <c r="I13"/>
  <c r="J14"/>
  <c r="J17"/>
  <c r="D16"/>
  <c r="J18"/>
  <c r="D20"/>
  <c r="E21"/>
  <c r="F22"/>
  <c r="G23"/>
  <c r="H24"/>
  <c r="I25"/>
  <c r="J26"/>
  <c r="D28"/>
  <c r="E29"/>
  <c r="F30"/>
  <c r="F46" i="37"/>
  <c r="E46"/>
  <c r="E51"/>
  <c r="D51"/>
  <c r="E55"/>
  <c r="D55"/>
  <c r="D61"/>
  <c r="D63"/>
  <c r="D65"/>
  <c r="D67"/>
  <c r="D69"/>
  <c r="E6" i="41"/>
  <c r="I6"/>
  <c r="D7"/>
  <c r="H7"/>
  <c r="L7"/>
  <c r="G8"/>
  <c r="K8"/>
  <c r="F9"/>
  <c r="J9"/>
  <c r="E10"/>
  <c r="I10"/>
  <c r="D11"/>
  <c r="H11"/>
  <c r="L11"/>
  <c r="G12"/>
  <c r="K12"/>
  <c r="F13"/>
  <c r="J13"/>
  <c r="E14"/>
  <c r="I14"/>
  <c r="D15"/>
  <c r="H15"/>
  <c r="L15"/>
  <c r="G16"/>
  <c r="K16"/>
  <c r="F17"/>
  <c r="F18"/>
  <c r="J17"/>
  <c r="J18"/>
  <c r="G19"/>
  <c r="K19"/>
  <c r="F20"/>
  <c r="J20"/>
  <c r="E21"/>
  <c r="I21"/>
  <c r="D22"/>
  <c r="H22"/>
  <c r="L22"/>
  <c r="G23"/>
  <c r="K23"/>
  <c r="F24"/>
  <c r="J24"/>
  <c r="E25"/>
  <c r="I25"/>
  <c r="D26"/>
  <c r="H26"/>
  <c r="L26"/>
  <c r="G27"/>
  <c r="K27"/>
  <c r="F28"/>
  <c r="J28"/>
  <c r="E29"/>
  <c r="I29"/>
  <c r="D30"/>
  <c r="H30"/>
  <c r="L30"/>
  <c r="G31"/>
  <c r="K31"/>
  <c r="F32"/>
  <c r="J32"/>
  <c r="E33"/>
  <c r="I33"/>
  <c r="D34"/>
  <c r="H34"/>
  <c r="L34"/>
  <c r="G35"/>
  <c r="K35"/>
  <c r="F36"/>
  <c r="J36"/>
  <c r="E37"/>
  <c r="I37"/>
  <c r="D38"/>
  <c r="H38"/>
  <c r="L38"/>
  <c r="G39"/>
  <c r="K39"/>
  <c r="F40"/>
  <c r="J40"/>
  <c r="E41"/>
  <c r="I41"/>
  <c r="D42"/>
  <c r="H42"/>
  <c r="L42"/>
  <c r="G43"/>
  <c r="K43"/>
  <c r="F44"/>
  <c r="J44"/>
  <c r="E45"/>
  <c r="I45"/>
  <c r="D46"/>
  <c r="H46"/>
  <c r="L46"/>
  <c r="G47"/>
  <c r="K47"/>
  <c r="F48"/>
  <c r="J48"/>
  <c r="E49"/>
  <c r="I49"/>
  <c r="D50"/>
  <c r="H50"/>
  <c r="L50"/>
  <c r="G51"/>
  <c r="K51"/>
  <c r="F52"/>
  <c r="J52"/>
  <c r="E53"/>
  <c r="I53"/>
  <c r="D54"/>
  <c r="H54"/>
  <c r="L54"/>
  <c r="G55"/>
  <c r="K55"/>
  <c r="F56"/>
  <c r="J56"/>
  <c r="E57"/>
  <c r="I57"/>
  <c r="F5" i="43"/>
  <c r="G6"/>
  <c r="H7"/>
  <c r="I8"/>
  <c r="J9"/>
  <c r="D11"/>
  <c r="E12"/>
  <c r="F13"/>
  <c r="G14"/>
  <c r="G17"/>
  <c r="H15"/>
  <c r="I16"/>
  <c r="I18"/>
  <c r="J19"/>
  <c r="D21"/>
  <c r="E22"/>
  <c r="F23"/>
  <c r="G24"/>
  <c r="H25"/>
  <c r="I26"/>
  <c r="J27"/>
  <c r="D29"/>
  <c r="E30"/>
  <c r="F21" i="37"/>
  <c r="D21"/>
  <c r="E21"/>
  <c r="F22"/>
  <c r="D22"/>
  <c r="E22"/>
  <c r="F23"/>
  <c r="D23"/>
  <c r="E23"/>
  <c r="F24"/>
  <c r="D24"/>
  <c r="E24"/>
  <c r="F25"/>
  <c r="D25"/>
  <c r="E25"/>
  <c r="F26"/>
  <c r="D26"/>
  <c r="E26"/>
  <c r="F27"/>
  <c r="D27"/>
  <c r="E27"/>
  <c r="F28"/>
  <c r="D28"/>
  <c r="E28"/>
  <c r="F29"/>
  <c r="D29"/>
  <c r="E29"/>
  <c r="F30"/>
  <c r="D30"/>
  <c r="E30"/>
  <c r="F31"/>
  <c r="D31"/>
  <c r="E31"/>
  <c r="E32"/>
  <c r="F32"/>
  <c r="F47"/>
  <c r="D47"/>
  <c r="E47"/>
  <c r="D48"/>
  <c r="E48"/>
  <c r="D52"/>
  <c r="E52"/>
  <c r="D56"/>
  <c r="E56"/>
  <c r="E59"/>
  <c r="F59"/>
  <c r="D6" i="41"/>
  <c r="H6"/>
  <c r="L6"/>
  <c r="G7"/>
  <c r="K7"/>
  <c r="F8"/>
  <c r="J8"/>
  <c r="E9"/>
  <c r="I9"/>
  <c r="D10"/>
  <c r="H10"/>
  <c r="L10"/>
  <c r="G11"/>
  <c r="K11"/>
  <c r="F12"/>
  <c r="J12"/>
  <c r="E13"/>
  <c r="I13"/>
  <c r="D14"/>
  <c r="H14"/>
  <c r="L14"/>
  <c r="G15"/>
  <c r="K15"/>
  <c r="F16"/>
  <c r="J16"/>
  <c r="E18"/>
  <c r="E17"/>
  <c r="I18"/>
  <c r="I17"/>
  <c r="F19"/>
  <c r="J19"/>
  <c r="E20"/>
  <c r="I20"/>
  <c r="D21"/>
  <c r="H21"/>
  <c r="L21"/>
  <c r="G22"/>
  <c r="K22"/>
  <c r="F23"/>
  <c r="J23"/>
  <c r="E24"/>
  <c r="I24"/>
  <c r="D25"/>
  <c r="H25"/>
  <c r="L25"/>
  <c r="G26"/>
  <c r="K26"/>
  <c r="F27"/>
  <c r="J27"/>
  <c r="E28"/>
  <c r="I28"/>
  <c r="D29"/>
  <c r="H29"/>
  <c r="L29"/>
  <c r="G30"/>
  <c r="K30"/>
  <c r="F31"/>
  <c r="J31"/>
  <c r="E32"/>
  <c r="I32"/>
  <c r="D33"/>
  <c r="H33"/>
  <c r="L33"/>
  <c r="G34"/>
  <c r="K34"/>
  <c r="F35"/>
  <c r="J35"/>
  <c r="E36"/>
  <c r="I36"/>
  <c r="D37"/>
  <c r="H37"/>
  <c r="L37"/>
  <c r="G38"/>
  <c r="K38"/>
  <c r="F39"/>
  <c r="J39"/>
  <c r="E40"/>
  <c r="I40"/>
  <c r="D41"/>
  <c r="H41"/>
  <c r="L41"/>
  <c r="G42"/>
  <c r="K42"/>
  <c r="F43"/>
  <c r="J43"/>
  <c r="E44"/>
  <c r="I44"/>
  <c r="D45"/>
  <c r="H45"/>
  <c r="L45"/>
  <c r="G46"/>
  <c r="K46"/>
  <c r="F47"/>
  <c r="J47"/>
  <c r="E48"/>
  <c r="I48"/>
  <c r="D49"/>
  <c r="H49"/>
  <c r="L49"/>
  <c r="G50"/>
  <c r="K50"/>
  <c r="F51"/>
  <c r="J51"/>
  <c r="E52"/>
  <c r="I52"/>
  <c r="D53"/>
  <c r="H53"/>
  <c r="L53"/>
  <c r="G54"/>
  <c r="K54"/>
  <c r="F55"/>
  <c r="J55"/>
  <c r="E56"/>
  <c r="I56"/>
  <c r="D57"/>
  <c r="H57"/>
  <c r="L57"/>
  <c r="E5" i="43"/>
  <c r="F6"/>
  <c r="G7"/>
  <c r="H8"/>
  <c r="I9"/>
  <c r="J10"/>
  <c r="D12"/>
  <c r="E13"/>
  <c r="F14"/>
  <c r="F17"/>
  <c r="G15"/>
  <c r="H16"/>
  <c r="F18"/>
  <c r="G19"/>
  <c r="H20"/>
  <c r="I21"/>
  <c r="J22"/>
  <c r="D24"/>
  <c r="E25"/>
  <c r="F26"/>
  <c r="G27"/>
  <c r="H28"/>
  <c r="I29"/>
  <c r="D8" i="37"/>
  <c r="E8"/>
  <c r="F8"/>
  <c r="D9"/>
  <c r="E9"/>
  <c r="F9"/>
  <c r="D10"/>
  <c r="E10"/>
  <c r="F10"/>
  <c r="D11"/>
  <c r="E11"/>
  <c r="F11"/>
  <c r="D12"/>
  <c r="E12"/>
  <c r="F12"/>
  <c r="D13"/>
  <c r="E13"/>
  <c r="F13"/>
  <c r="D14"/>
  <c r="E14"/>
  <c r="F14"/>
  <c r="D15"/>
  <c r="E15"/>
  <c r="F15"/>
  <c r="D16"/>
  <c r="E16"/>
  <c r="F16"/>
  <c r="D17"/>
  <c r="E17"/>
  <c r="F17"/>
  <c r="D18"/>
  <c r="E18"/>
  <c r="F18"/>
  <c r="E20"/>
  <c r="E19"/>
  <c r="F19"/>
  <c r="E33"/>
  <c r="F33"/>
  <c r="D49"/>
  <c r="E49"/>
  <c r="D53"/>
  <c r="E53"/>
  <c r="D57"/>
  <c r="E57"/>
  <c r="D60"/>
  <c r="D62"/>
  <c r="D64"/>
  <c r="D66"/>
  <c r="D68"/>
  <c r="D70"/>
  <c r="G6" i="41"/>
  <c r="K6"/>
  <c r="F7"/>
  <c r="J7"/>
  <c r="E8"/>
  <c r="I8"/>
  <c r="D9"/>
  <c r="H9"/>
  <c r="L9"/>
  <c r="G10"/>
  <c r="K10"/>
  <c r="F11"/>
  <c r="J11"/>
  <c r="E12"/>
  <c r="I12"/>
  <c r="D13"/>
  <c r="H13"/>
  <c r="L13"/>
  <c r="G14"/>
  <c r="K14"/>
  <c r="F15"/>
  <c r="J15"/>
  <c r="E16"/>
  <c r="I16"/>
  <c r="D17"/>
  <c r="D18"/>
  <c r="H17"/>
  <c r="H18"/>
  <c r="L17"/>
  <c r="L18"/>
  <c r="E19"/>
  <c r="I19"/>
  <c r="D20"/>
  <c r="H20"/>
  <c r="L20"/>
  <c r="G21"/>
  <c r="K21"/>
  <c r="F22"/>
  <c r="J22"/>
  <c r="E23"/>
  <c r="I23"/>
  <c r="D24"/>
  <c r="H24"/>
  <c r="L24"/>
  <c r="G25"/>
  <c r="K25"/>
  <c r="F26"/>
  <c r="J26"/>
  <c r="E27"/>
  <c r="I27"/>
  <c r="D28"/>
  <c r="H28"/>
  <c r="L28"/>
  <c r="G29"/>
  <c r="K29"/>
  <c r="F30"/>
  <c r="J30"/>
  <c r="E31"/>
  <c r="I31"/>
  <c r="D32"/>
  <c r="H32"/>
  <c r="L32"/>
  <c r="G33"/>
  <c r="K33"/>
  <c r="F34"/>
  <c r="J34"/>
  <c r="E35"/>
  <c r="I35"/>
  <c r="D36"/>
  <c r="H36"/>
  <c r="L36"/>
  <c r="G37"/>
  <c r="K37"/>
  <c r="F38"/>
  <c r="J38"/>
  <c r="E39"/>
  <c r="I39"/>
  <c r="D40"/>
  <c r="H40"/>
  <c r="L40"/>
  <c r="G41"/>
  <c r="K41"/>
  <c r="F42"/>
  <c r="J42"/>
  <c r="E43"/>
  <c r="I43"/>
  <c r="D44"/>
  <c r="H44"/>
  <c r="L44"/>
  <c r="G45"/>
  <c r="K45"/>
  <c r="F46"/>
  <c r="J46"/>
  <c r="E47"/>
  <c r="I47"/>
  <c r="D48"/>
  <c r="H48"/>
  <c r="L48"/>
  <c r="G49"/>
  <c r="K49"/>
  <c r="F50"/>
  <c r="J50"/>
  <c r="E51"/>
  <c r="I51"/>
  <c r="D52"/>
  <c r="H52"/>
  <c r="L52"/>
  <c r="G53"/>
  <c r="K53"/>
  <c r="F54"/>
  <c r="J54"/>
  <c r="E55"/>
  <c r="I55"/>
  <c r="D56"/>
  <c r="H56"/>
  <c r="L56"/>
  <c r="G57"/>
  <c r="K57"/>
  <c r="J5" i="43"/>
  <c r="D7"/>
  <c r="E8"/>
  <c r="F9"/>
  <c r="G10"/>
  <c r="H11"/>
  <c r="I12"/>
  <c r="J13"/>
  <c r="D15"/>
  <c r="E16"/>
  <c r="E18"/>
  <c r="F19"/>
  <c r="G20"/>
  <c r="H21"/>
  <c r="I22"/>
  <c r="J23"/>
  <c r="D25"/>
  <c r="E26"/>
  <c r="F27"/>
  <c r="G28"/>
  <c r="H29"/>
  <c r="D5"/>
  <c r="H5"/>
  <c r="E6"/>
  <c r="I6"/>
  <c r="F7"/>
  <c r="J7"/>
  <c r="G8"/>
  <c r="D9"/>
  <c r="H9"/>
  <c r="E10"/>
  <c r="I10"/>
  <c r="F11"/>
  <c r="J11"/>
  <c r="G12"/>
  <c r="D13"/>
  <c r="H13"/>
  <c r="E17"/>
  <c r="E14"/>
  <c r="I17"/>
  <c r="I14"/>
  <c r="F15"/>
  <c r="J15"/>
  <c r="G16"/>
  <c r="D18"/>
  <c r="H18"/>
  <c r="E19"/>
  <c r="I19"/>
  <c r="F20"/>
  <c r="J20"/>
  <c r="G21"/>
  <c r="D22"/>
  <c r="H22"/>
  <c r="E23"/>
  <c r="I23"/>
  <c r="F24"/>
  <c r="J24"/>
  <c r="G25"/>
  <c r="D26"/>
  <c r="H26"/>
  <c r="E27"/>
  <c r="I27"/>
  <c r="F28"/>
  <c r="J28"/>
  <c r="G29"/>
  <c r="D30"/>
  <c r="H30"/>
  <c r="E31"/>
  <c r="I31"/>
  <c r="F32"/>
  <c r="J32"/>
  <c r="G33"/>
  <c r="D34"/>
  <c r="H34"/>
  <c r="E35"/>
  <c r="I35"/>
  <c r="F36"/>
  <c r="J36"/>
  <c r="G37"/>
  <c r="D38"/>
  <c r="H38"/>
  <c r="E39"/>
  <c r="I39"/>
  <c r="F40"/>
  <c r="J40"/>
  <c r="G41"/>
  <c r="D42"/>
  <c r="H42"/>
  <c r="E43"/>
  <c r="I43"/>
  <c r="F44"/>
  <c r="J44"/>
  <c r="G45"/>
  <c r="D46"/>
  <c r="H46"/>
  <c r="E47"/>
  <c r="I47"/>
  <c r="F48"/>
  <c r="J48"/>
  <c r="G49"/>
  <c r="D50"/>
  <c r="H50"/>
  <c r="E51"/>
  <c r="I51"/>
  <c r="F52"/>
  <c r="J52"/>
  <c r="G53"/>
  <c r="D54"/>
  <c r="H54"/>
  <c r="E55"/>
  <c r="I55"/>
  <c r="F56"/>
  <c r="J56"/>
  <c r="F14" i="44"/>
  <c r="G14"/>
  <c r="D16"/>
  <c r="D12" i="45"/>
  <c r="F14"/>
  <c r="G14"/>
  <c r="D16"/>
  <c r="D21" i="47"/>
  <c r="E21"/>
  <c r="F21"/>
  <c r="D22"/>
  <c r="E22"/>
  <c r="F22"/>
  <c r="D23"/>
  <c r="E23"/>
  <c r="F23"/>
  <c r="D24"/>
  <c r="E24"/>
  <c r="F24"/>
  <c r="D25"/>
  <c r="E25"/>
  <c r="F25"/>
  <c r="D26"/>
  <c r="E26"/>
  <c r="F26"/>
  <c r="D27"/>
  <c r="E27"/>
  <c r="F27"/>
  <c r="D28"/>
  <c r="E28"/>
  <c r="F28"/>
  <c r="D29"/>
  <c r="E29"/>
  <c r="F29"/>
  <c r="D30"/>
  <c r="E30"/>
  <c r="F30"/>
  <c r="D31"/>
  <c r="E31"/>
  <c r="F31"/>
  <c r="E32"/>
  <c r="F32"/>
  <c r="D47"/>
  <c r="E47"/>
  <c r="D51"/>
  <c r="E51"/>
  <c r="D55"/>
  <c r="E55"/>
  <c r="D61"/>
  <c r="D63"/>
  <c r="D65"/>
  <c r="D67"/>
  <c r="D69"/>
  <c r="E6" i="51"/>
  <c r="I6"/>
  <c r="D7"/>
  <c r="H7"/>
  <c r="L7"/>
  <c r="G8"/>
  <c r="K8"/>
  <c r="F9"/>
  <c r="J9"/>
  <c r="E10"/>
  <c r="I10"/>
  <c r="D11"/>
  <c r="H11"/>
  <c r="L11"/>
  <c r="G12"/>
  <c r="K12"/>
  <c r="F13"/>
  <c r="J13"/>
  <c r="E14"/>
  <c r="I14"/>
  <c r="D15"/>
  <c r="H15"/>
  <c r="L15"/>
  <c r="G16"/>
  <c r="K16"/>
  <c r="F17"/>
  <c r="J17"/>
  <c r="D19"/>
  <c r="H19"/>
  <c r="L19"/>
  <c r="G20"/>
  <c r="K20"/>
  <c r="F21"/>
  <c r="J21"/>
  <c r="E22"/>
  <c r="I22"/>
  <c r="D23"/>
  <c r="H23"/>
  <c r="L23"/>
  <c r="G24"/>
  <c r="K24"/>
  <c r="F25"/>
  <c r="J25"/>
  <c r="E26"/>
  <c r="I26"/>
  <c r="D27"/>
  <c r="H27"/>
  <c r="L27"/>
  <c r="G28"/>
  <c r="K28"/>
  <c r="F29"/>
  <c r="J29"/>
  <c r="E30"/>
  <c r="I30"/>
  <c r="H31"/>
  <c r="L31"/>
  <c r="G32"/>
  <c r="K32"/>
  <c r="F33"/>
  <c r="J33"/>
  <c r="E34"/>
  <c r="I34"/>
  <c r="D35"/>
  <c r="H35"/>
  <c r="L35"/>
  <c r="G36"/>
  <c r="K36"/>
  <c r="F37"/>
  <c r="J37"/>
  <c r="E38"/>
  <c r="I38"/>
  <c r="D39"/>
  <c r="H39"/>
  <c r="L39"/>
  <c r="G40"/>
  <c r="K40"/>
  <c r="F41"/>
  <c r="J41"/>
  <c r="E42"/>
  <c r="I42"/>
  <c r="D43"/>
  <c r="H43"/>
  <c r="L43"/>
  <c r="G44"/>
  <c r="K44"/>
  <c r="F45"/>
  <c r="J45"/>
  <c r="E46"/>
  <c r="I46"/>
  <c r="D47"/>
  <c r="H47"/>
  <c r="L47"/>
  <c r="G48"/>
  <c r="K48"/>
  <c r="F49"/>
  <c r="K49"/>
  <c r="H50"/>
  <c r="G51"/>
  <c r="F52"/>
  <c r="E53"/>
  <c r="D54"/>
  <c r="L54"/>
  <c r="K55"/>
  <c r="J56"/>
  <c r="H57"/>
  <c r="G5" i="43"/>
  <c r="D6"/>
  <c r="H6"/>
  <c r="E7"/>
  <c r="I7"/>
  <c r="F8"/>
  <c r="J8"/>
  <c r="G9"/>
  <c r="D10"/>
  <c r="H10"/>
  <c r="E11"/>
  <c r="I11"/>
  <c r="F12"/>
  <c r="J12"/>
  <c r="G13"/>
  <c r="D14"/>
  <c r="D17"/>
  <c r="H14"/>
  <c r="H17"/>
  <c r="E15"/>
  <c r="I15"/>
  <c r="F16"/>
  <c r="J16"/>
  <c r="G18"/>
  <c r="D19"/>
  <c r="H19"/>
  <c r="E20"/>
  <c r="I20"/>
  <c r="F21"/>
  <c r="J21"/>
  <c r="G22"/>
  <c r="D23"/>
  <c r="H23"/>
  <c r="E24"/>
  <c r="I24"/>
  <c r="F25"/>
  <c r="J25"/>
  <c r="G26"/>
  <c r="D27"/>
  <c r="H27"/>
  <c r="E28"/>
  <c r="I28"/>
  <c r="F29"/>
  <c r="J29"/>
  <c r="G30"/>
  <c r="D31"/>
  <c r="H31"/>
  <c r="E32"/>
  <c r="I32"/>
  <c r="F33"/>
  <c r="J33"/>
  <c r="G34"/>
  <c r="D35"/>
  <c r="H35"/>
  <c r="E36"/>
  <c r="I36"/>
  <c r="F37"/>
  <c r="J37"/>
  <c r="G38"/>
  <c r="D39"/>
  <c r="H39"/>
  <c r="E40"/>
  <c r="I40"/>
  <c r="F41"/>
  <c r="J41"/>
  <c r="G42"/>
  <c r="D43"/>
  <c r="H43"/>
  <c r="E44"/>
  <c r="I44"/>
  <c r="F45"/>
  <c r="J45"/>
  <c r="G46"/>
  <c r="D47"/>
  <c r="H47"/>
  <c r="E48"/>
  <c r="I48"/>
  <c r="F49"/>
  <c r="J49"/>
  <c r="G50"/>
  <c r="D51"/>
  <c r="H51"/>
  <c r="E52"/>
  <c r="I52"/>
  <c r="F53"/>
  <c r="J53"/>
  <c r="G54"/>
  <c r="D55"/>
  <c r="H55"/>
  <c r="E56"/>
  <c r="I56"/>
  <c r="D15" i="44"/>
  <c r="D10" i="45"/>
  <c r="G13"/>
  <c r="F13"/>
  <c r="D15"/>
  <c r="G18"/>
  <c r="F18"/>
  <c r="F33" i="47"/>
  <c r="E33"/>
  <c r="E48"/>
  <c r="D48"/>
  <c r="E52"/>
  <c r="D52"/>
  <c r="E56"/>
  <c r="D56"/>
  <c r="F59"/>
  <c r="E59"/>
  <c r="D6" i="51"/>
  <c r="H6"/>
  <c r="L6"/>
  <c r="G7"/>
  <c r="K7"/>
  <c r="F8"/>
  <c r="J8"/>
  <c r="E9"/>
  <c r="I9"/>
  <c r="D10"/>
  <c r="H10"/>
  <c r="L10"/>
  <c r="G11"/>
  <c r="K11"/>
  <c r="F12"/>
  <c r="J12"/>
  <c r="E13"/>
  <c r="I13"/>
  <c r="D14"/>
  <c r="H14"/>
  <c r="L14"/>
  <c r="G15"/>
  <c r="K15"/>
  <c r="F16"/>
  <c r="J16"/>
  <c r="E17"/>
  <c r="I17"/>
  <c r="G19"/>
  <c r="K19"/>
  <c r="F20"/>
  <c r="J20"/>
  <c r="E21"/>
  <c r="I21"/>
  <c r="D22"/>
  <c r="H22"/>
  <c r="L22"/>
  <c r="G23"/>
  <c r="K23"/>
  <c r="F24"/>
  <c r="J24"/>
  <c r="E25"/>
  <c r="I25"/>
  <c r="D26"/>
  <c r="H26"/>
  <c r="L26"/>
  <c r="G27"/>
  <c r="K27"/>
  <c r="F28"/>
  <c r="J28"/>
  <c r="E29"/>
  <c r="I29"/>
  <c r="D30"/>
  <c r="H30"/>
  <c r="L30"/>
  <c r="G31"/>
  <c r="K31"/>
  <c r="F32"/>
  <c r="J32"/>
  <c r="E33"/>
  <c r="I33"/>
  <c r="D34"/>
  <c r="H34"/>
  <c r="L34"/>
  <c r="G35"/>
  <c r="K35"/>
  <c r="F36"/>
  <c r="J36"/>
  <c r="E37"/>
  <c r="I37"/>
  <c r="D38"/>
  <c r="H38"/>
  <c r="L38"/>
  <c r="G39"/>
  <c r="K39"/>
  <c r="F40"/>
  <c r="J40"/>
  <c r="E41"/>
  <c r="I41"/>
  <c r="D42"/>
  <c r="H42"/>
  <c r="L42"/>
  <c r="G43"/>
  <c r="K43"/>
  <c r="J44"/>
  <c r="E45"/>
  <c r="I45"/>
  <c r="D46"/>
  <c r="H46"/>
  <c r="L46"/>
  <c r="G47"/>
  <c r="K47"/>
  <c r="F48"/>
  <c r="J48"/>
  <c r="E49"/>
  <c r="I49"/>
  <c r="G50"/>
  <c r="F51"/>
  <c r="E52"/>
  <c r="D53"/>
  <c r="L53"/>
  <c r="K54"/>
  <c r="J55"/>
  <c r="I56"/>
  <c r="J30" i="43"/>
  <c r="G31"/>
  <c r="D32"/>
  <c r="H32"/>
  <c r="E33"/>
  <c r="I33"/>
  <c r="F34"/>
  <c r="J34"/>
  <c r="G35"/>
  <c r="D36"/>
  <c r="H36"/>
  <c r="E37"/>
  <c r="I37"/>
  <c r="F38"/>
  <c r="J38"/>
  <c r="G39"/>
  <c r="D40"/>
  <c r="H40"/>
  <c r="E41"/>
  <c r="I41"/>
  <c r="F42"/>
  <c r="J42"/>
  <c r="G43"/>
  <c r="D44"/>
  <c r="H44"/>
  <c r="E45"/>
  <c r="I45"/>
  <c r="F46"/>
  <c r="J46"/>
  <c r="G47"/>
  <c r="D48"/>
  <c r="H48"/>
  <c r="E49"/>
  <c r="I49"/>
  <c r="F50"/>
  <c r="J50"/>
  <c r="G51"/>
  <c r="D52"/>
  <c r="H52"/>
  <c r="E53"/>
  <c r="I53"/>
  <c r="F54"/>
  <c r="J54"/>
  <c r="G55"/>
  <c r="D56"/>
  <c r="H56"/>
  <c r="D14" i="44"/>
  <c r="F16"/>
  <c r="G16"/>
  <c r="F12" i="45"/>
  <c r="G12"/>
  <c r="D14"/>
  <c r="F16"/>
  <c r="G16"/>
  <c r="F8" i="47"/>
  <c r="D8"/>
  <c r="E8"/>
  <c r="F9"/>
  <c r="D9"/>
  <c r="E9"/>
  <c r="F10"/>
  <c r="D10"/>
  <c r="E10"/>
  <c r="F11"/>
  <c r="D11"/>
  <c r="E11"/>
  <c r="F12"/>
  <c r="D12"/>
  <c r="E12"/>
  <c r="F13"/>
  <c r="D13"/>
  <c r="E13"/>
  <c r="F14"/>
  <c r="D14"/>
  <c r="E14"/>
  <c r="F15"/>
  <c r="D15"/>
  <c r="E15"/>
  <c r="F16"/>
  <c r="D16"/>
  <c r="E16"/>
  <c r="F17"/>
  <c r="D17"/>
  <c r="E17"/>
  <c r="F18"/>
  <c r="D18"/>
  <c r="E18"/>
  <c r="E20"/>
  <c r="E19"/>
  <c r="F19"/>
  <c r="F34"/>
  <c r="D34"/>
  <c r="E34"/>
  <c r="F35"/>
  <c r="D35"/>
  <c r="E35"/>
  <c r="F36"/>
  <c r="D36"/>
  <c r="E36"/>
  <c r="F37"/>
  <c r="D37"/>
  <c r="E37"/>
  <c r="F38"/>
  <c r="D38"/>
  <c r="E38"/>
  <c r="F39"/>
  <c r="D39"/>
  <c r="E39"/>
  <c r="F40"/>
  <c r="D40"/>
  <c r="E40"/>
  <c r="F41"/>
  <c r="D41"/>
  <c r="E41"/>
  <c r="F42"/>
  <c r="D42"/>
  <c r="E42"/>
  <c r="F43"/>
  <c r="D43"/>
  <c r="E43"/>
  <c r="F44"/>
  <c r="D44"/>
  <c r="E44"/>
  <c r="E45"/>
  <c r="F45"/>
  <c r="D49"/>
  <c r="E49"/>
  <c r="D53"/>
  <c r="E53"/>
  <c r="D57"/>
  <c r="E57"/>
  <c r="D60"/>
  <c r="D62"/>
  <c r="D64"/>
  <c r="D66"/>
  <c r="D68"/>
  <c r="D70"/>
  <c r="G6" i="51"/>
  <c r="K6"/>
  <c r="F7"/>
  <c r="J7"/>
  <c r="E8"/>
  <c r="I8"/>
  <c r="D9"/>
  <c r="H9"/>
  <c r="L9"/>
  <c r="G10"/>
  <c r="K10"/>
  <c r="F11"/>
  <c r="J11"/>
  <c r="E12"/>
  <c r="I12"/>
  <c r="D13"/>
  <c r="H13"/>
  <c r="L13"/>
  <c r="G14"/>
  <c r="K14"/>
  <c r="F15"/>
  <c r="J15"/>
  <c r="E16"/>
  <c r="I16"/>
  <c r="D17"/>
  <c r="H17"/>
  <c r="L17"/>
  <c r="F19"/>
  <c r="J19"/>
  <c r="E20"/>
  <c r="I20"/>
  <c r="D21"/>
  <c r="H21"/>
  <c r="L21"/>
  <c r="G22"/>
  <c r="K22"/>
  <c r="F23"/>
  <c r="J23"/>
  <c r="E24"/>
  <c r="I24"/>
  <c r="D25"/>
  <c r="H25"/>
  <c r="L25"/>
  <c r="G26"/>
  <c r="K26"/>
  <c r="F27"/>
  <c r="J27"/>
  <c r="E28"/>
  <c r="I28"/>
  <c r="D29"/>
  <c r="H29"/>
  <c r="L29"/>
  <c r="G30"/>
  <c r="K30"/>
  <c r="J31"/>
  <c r="E32"/>
  <c r="I32"/>
  <c r="D33"/>
  <c r="H33"/>
  <c r="L33"/>
  <c r="G34"/>
  <c r="K34"/>
  <c r="F35"/>
  <c r="J35"/>
  <c r="E36"/>
  <c r="I36"/>
  <c r="D37"/>
  <c r="H37"/>
  <c r="L37"/>
  <c r="G38"/>
  <c r="K38"/>
  <c r="F39"/>
  <c r="J39"/>
  <c r="E40"/>
  <c r="I40"/>
  <c r="D41"/>
  <c r="H41"/>
  <c r="L41"/>
  <c r="G42"/>
  <c r="K42"/>
  <c r="F43"/>
  <c r="J43"/>
  <c r="I44"/>
  <c r="D45"/>
  <c r="H45"/>
  <c r="L45"/>
  <c r="G46"/>
  <c r="K46"/>
  <c r="F47"/>
  <c r="J47"/>
  <c r="E48"/>
  <c r="I48"/>
  <c r="D49"/>
  <c r="H49"/>
  <c r="D50"/>
  <c r="L50"/>
  <c r="K51"/>
  <c r="J52"/>
  <c r="I53"/>
  <c r="H54"/>
  <c r="G55"/>
  <c r="F56"/>
  <c r="L57"/>
  <c r="I30" i="43"/>
  <c r="F31"/>
  <c r="J31"/>
  <c r="G32"/>
  <c r="D33"/>
  <c r="H33"/>
  <c r="E34"/>
  <c r="I34"/>
  <c r="F35"/>
  <c r="J35"/>
  <c r="G36"/>
  <c r="D37"/>
  <c r="H37"/>
  <c r="E38"/>
  <c r="I38"/>
  <c r="F39"/>
  <c r="J39"/>
  <c r="G40"/>
  <c r="D41"/>
  <c r="H41"/>
  <c r="E42"/>
  <c r="I42"/>
  <c r="F43"/>
  <c r="J43"/>
  <c r="G44"/>
  <c r="D45"/>
  <c r="H45"/>
  <c r="E46"/>
  <c r="I46"/>
  <c r="F47"/>
  <c r="J47"/>
  <c r="G48"/>
  <c r="D49"/>
  <c r="H49"/>
  <c r="E50"/>
  <c r="I50"/>
  <c r="F51"/>
  <c r="J51"/>
  <c r="G52"/>
  <c r="D53"/>
  <c r="H53"/>
  <c r="E54"/>
  <c r="I54"/>
  <c r="F55"/>
  <c r="J55"/>
  <c r="G56"/>
  <c r="F15" i="44"/>
  <c r="G15"/>
  <c r="F10" i="45"/>
  <c r="G10"/>
  <c r="D13"/>
  <c r="F15"/>
  <c r="G15"/>
  <c r="D18"/>
  <c r="E46" i="47"/>
  <c r="F46"/>
  <c r="D50"/>
  <c r="E50"/>
  <c r="D54"/>
  <c r="E54"/>
  <c r="E58"/>
  <c r="F6" i="51"/>
  <c r="J6"/>
  <c r="E7"/>
  <c r="I7"/>
  <c r="D8"/>
  <c r="H8"/>
  <c r="L8"/>
  <c r="G9"/>
  <c r="K9"/>
  <c r="F10"/>
  <c r="J10"/>
  <c r="E11"/>
  <c r="I11"/>
  <c r="D12"/>
  <c r="H12"/>
  <c r="L12"/>
  <c r="G13"/>
  <c r="K13"/>
  <c r="F14"/>
  <c r="J14"/>
  <c r="E15"/>
  <c r="I15"/>
  <c r="D16"/>
  <c r="H16"/>
  <c r="L16"/>
  <c r="G17"/>
  <c r="K17"/>
  <c r="E19"/>
  <c r="I19"/>
  <c r="D20"/>
  <c r="H20"/>
  <c r="L20"/>
  <c r="G21"/>
  <c r="K21"/>
  <c r="F22"/>
  <c r="J22"/>
  <c r="E23"/>
  <c r="I23"/>
  <c r="D24"/>
  <c r="H24"/>
  <c r="L24"/>
  <c r="G25"/>
  <c r="K25"/>
  <c r="F26"/>
  <c r="J26"/>
  <c r="E27"/>
  <c r="I27"/>
  <c r="D28"/>
  <c r="H28"/>
  <c r="L28"/>
  <c r="G29"/>
  <c r="K29"/>
  <c r="F30"/>
  <c r="J30"/>
  <c r="I31"/>
  <c r="D32"/>
  <c r="H32"/>
  <c r="L32"/>
  <c r="G33"/>
  <c r="K33"/>
  <c r="F34"/>
  <c r="J34"/>
  <c r="E35"/>
  <c r="I35"/>
  <c r="D36"/>
  <c r="H36"/>
  <c r="L36"/>
  <c r="G37"/>
  <c r="K37"/>
  <c r="F38"/>
  <c r="J38"/>
  <c r="E39"/>
  <c r="I39"/>
  <c r="D40"/>
  <c r="H40"/>
  <c r="L40"/>
  <c r="G41"/>
  <c r="K41"/>
  <c r="F42"/>
  <c r="J42"/>
  <c r="E43"/>
  <c r="I43"/>
  <c r="H44"/>
  <c r="L44"/>
  <c r="G45"/>
  <c r="K45"/>
  <c r="F46"/>
  <c r="J46"/>
  <c r="E47"/>
  <c r="I47"/>
  <c r="D48"/>
  <c r="H48"/>
  <c r="L48"/>
  <c r="G49"/>
  <c r="L49"/>
  <c r="K50"/>
  <c r="J51"/>
  <c r="I52"/>
  <c r="H53"/>
  <c r="G54"/>
  <c r="F55"/>
  <c r="E56"/>
  <c r="I57"/>
  <c r="F50"/>
  <c r="J50"/>
  <c r="E51"/>
  <c r="I51"/>
  <c r="D52"/>
  <c r="H52"/>
  <c r="L52"/>
  <c r="G53"/>
  <c r="K53"/>
  <c r="F54"/>
  <c r="J54"/>
  <c r="E55"/>
  <c r="I55"/>
  <c r="D56"/>
  <c r="H56"/>
  <c r="L56"/>
  <c r="G57"/>
  <c r="K57"/>
  <c r="E5" i="53"/>
  <c r="I5"/>
  <c r="F6"/>
  <c r="J6"/>
  <c r="G7"/>
  <c r="D8"/>
  <c r="H8"/>
  <c r="E9"/>
  <c r="I9"/>
  <c r="F10"/>
  <c r="J10"/>
  <c r="G11"/>
  <c r="D12"/>
  <c r="H12"/>
  <c r="E13"/>
  <c r="I13"/>
  <c r="F14"/>
  <c r="J14"/>
  <c r="G15"/>
  <c r="D16"/>
  <c r="H16"/>
  <c r="F18"/>
  <c r="J18"/>
  <c r="G19"/>
  <c r="D20"/>
  <c r="H20"/>
  <c r="E21"/>
  <c r="I21"/>
  <c r="F22"/>
  <c r="J22"/>
  <c r="G23"/>
  <c r="D24"/>
  <c r="H24"/>
  <c r="E25"/>
  <c r="I25"/>
  <c r="F26"/>
  <c r="J26"/>
  <c r="G27"/>
  <c r="D28"/>
  <c r="H28"/>
  <c r="E29"/>
  <c r="I29"/>
  <c r="G31"/>
  <c r="D32"/>
  <c r="H32"/>
  <c r="E33"/>
  <c r="I33"/>
  <c r="F34"/>
  <c r="J34"/>
  <c r="G35"/>
  <c r="D36"/>
  <c r="H36"/>
  <c r="E37"/>
  <c r="I37"/>
  <c r="F38"/>
  <c r="J38"/>
  <c r="G39"/>
  <c r="D40"/>
  <c r="H40"/>
  <c r="E41"/>
  <c r="I41"/>
  <c r="F42"/>
  <c r="J42"/>
  <c r="D44"/>
  <c r="H44"/>
  <c r="E45"/>
  <c r="I45"/>
  <c r="F46"/>
  <c r="J46"/>
  <c r="G47"/>
  <c r="D48"/>
  <c r="H48"/>
  <c r="E49"/>
  <c r="I49"/>
  <c r="F50"/>
  <c r="J50"/>
  <c r="G51"/>
  <c r="D52"/>
  <c r="H52"/>
  <c r="E53"/>
  <c r="I53"/>
  <c r="F54"/>
  <c r="J54"/>
  <c r="G55"/>
  <c r="E9" i="55"/>
  <c r="E14"/>
  <c r="D34" i="59"/>
  <c r="E34"/>
  <c r="F34"/>
  <c r="D35"/>
  <c r="E35"/>
  <c r="F35"/>
  <c r="D36"/>
  <c r="E36"/>
  <c r="F36"/>
  <c r="D37"/>
  <c r="E37"/>
  <c r="F37"/>
  <c r="D38"/>
  <c r="E38"/>
  <c r="F38"/>
  <c r="D39"/>
  <c r="E39"/>
  <c r="F39"/>
  <c r="D40"/>
  <c r="E40"/>
  <c r="F40"/>
  <c r="D41"/>
  <c r="E41"/>
  <c r="F41"/>
  <c r="D42"/>
  <c r="E42"/>
  <c r="F42"/>
  <c r="D43"/>
  <c r="E43"/>
  <c r="F43"/>
  <c r="D44"/>
  <c r="E44"/>
  <c r="F44"/>
  <c r="E45"/>
  <c r="F45"/>
  <c r="D49"/>
  <c r="E49"/>
  <c r="D53"/>
  <c r="E53"/>
  <c r="D57"/>
  <c r="E57"/>
  <c r="D60"/>
  <c r="D62"/>
  <c r="D64"/>
  <c r="D66"/>
  <c r="D68"/>
  <c r="D70"/>
  <c r="J49" i="51"/>
  <c r="E50"/>
  <c r="I50"/>
  <c r="D51"/>
  <c r="H51"/>
  <c r="L51"/>
  <c r="G52"/>
  <c r="K52"/>
  <c r="F53"/>
  <c r="J53"/>
  <c r="E54"/>
  <c r="I54"/>
  <c r="D55"/>
  <c r="H55"/>
  <c r="L55"/>
  <c r="G56"/>
  <c r="K56"/>
  <c r="J57"/>
  <c r="D5" i="53"/>
  <c r="H5"/>
  <c r="E6"/>
  <c r="I6"/>
  <c r="F7"/>
  <c r="J7"/>
  <c r="G8"/>
  <c r="D9"/>
  <c r="H9"/>
  <c r="E10"/>
  <c r="I10"/>
  <c r="F11"/>
  <c r="J11"/>
  <c r="G12"/>
  <c r="D13"/>
  <c r="H13"/>
  <c r="E14"/>
  <c r="I14"/>
  <c r="F15"/>
  <c r="J15"/>
  <c r="G16"/>
  <c r="E18"/>
  <c r="I18"/>
  <c r="F19"/>
  <c r="J19"/>
  <c r="G20"/>
  <c r="D21"/>
  <c r="H21"/>
  <c r="E22"/>
  <c r="I22"/>
  <c r="F23"/>
  <c r="J23"/>
  <c r="G24"/>
  <c r="D25"/>
  <c r="H25"/>
  <c r="E26"/>
  <c r="I26"/>
  <c r="F27"/>
  <c r="J27"/>
  <c r="G28"/>
  <c r="D29"/>
  <c r="H29"/>
  <c r="F31"/>
  <c r="J31"/>
  <c r="G32"/>
  <c r="D33"/>
  <c r="H33"/>
  <c r="E34"/>
  <c r="I34"/>
  <c r="F35"/>
  <c r="J35"/>
  <c r="G36"/>
  <c r="D37"/>
  <c r="H37"/>
  <c r="E38"/>
  <c r="I38"/>
  <c r="F39"/>
  <c r="J39"/>
  <c r="G40"/>
  <c r="D41"/>
  <c r="H41"/>
  <c r="E42"/>
  <c r="I42"/>
  <c r="G44"/>
  <c r="D45"/>
  <c r="H45"/>
  <c r="E46"/>
  <c r="I46"/>
  <c r="F47"/>
  <c r="J47"/>
  <c r="G48"/>
  <c r="D49"/>
  <c r="H49"/>
  <c r="E50"/>
  <c r="I50"/>
  <c r="F51"/>
  <c r="J51"/>
  <c r="G52"/>
  <c r="D53"/>
  <c r="H53"/>
  <c r="E54"/>
  <c r="I54"/>
  <c r="F55"/>
  <c r="J55"/>
  <c r="E10" i="55"/>
  <c r="E15"/>
  <c r="E50" i="59"/>
  <c r="D50"/>
  <c r="E54"/>
  <c r="D54"/>
  <c r="E58"/>
  <c r="G5" i="53"/>
  <c r="D6"/>
  <c r="H6"/>
  <c r="E7"/>
  <c r="I7"/>
  <c r="F8"/>
  <c r="J8"/>
  <c r="G9"/>
  <c r="D10"/>
  <c r="H10"/>
  <c r="E11"/>
  <c r="I11"/>
  <c r="F12"/>
  <c r="J12"/>
  <c r="G13"/>
  <c r="D14"/>
  <c r="H14"/>
  <c r="E15"/>
  <c r="I15"/>
  <c r="F16"/>
  <c r="J16"/>
  <c r="D18"/>
  <c r="H18"/>
  <c r="E19"/>
  <c r="I19"/>
  <c r="F20"/>
  <c r="J20"/>
  <c r="G21"/>
  <c r="D22"/>
  <c r="H22"/>
  <c r="E23"/>
  <c r="I23"/>
  <c r="F24"/>
  <c r="J24"/>
  <c r="G25"/>
  <c r="D26"/>
  <c r="H26"/>
  <c r="E27"/>
  <c r="I27"/>
  <c r="F28"/>
  <c r="J28"/>
  <c r="G29"/>
  <c r="E31"/>
  <c r="I31"/>
  <c r="F32"/>
  <c r="J32"/>
  <c r="G33"/>
  <c r="D34"/>
  <c r="H34"/>
  <c r="E35"/>
  <c r="I35"/>
  <c r="F36"/>
  <c r="J36"/>
  <c r="G37"/>
  <c r="D38"/>
  <c r="H38"/>
  <c r="E39"/>
  <c r="I39"/>
  <c r="F40"/>
  <c r="J40"/>
  <c r="G41"/>
  <c r="D42"/>
  <c r="H42"/>
  <c r="F44"/>
  <c r="J44"/>
  <c r="G45"/>
  <c r="D46"/>
  <c r="H46"/>
  <c r="E47"/>
  <c r="I47"/>
  <c r="F48"/>
  <c r="J48"/>
  <c r="G49"/>
  <c r="D50"/>
  <c r="H50"/>
  <c r="E51"/>
  <c r="I51"/>
  <c r="F52"/>
  <c r="J52"/>
  <c r="G53"/>
  <c r="D54"/>
  <c r="H54"/>
  <c r="E55"/>
  <c r="I55"/>
  <c r="E11" i="55"/>
  <c r="F21" i="59"/>
  <c r="D21"/>
  <c r="E21"/>
  <c r="F22"/>
  <c r="D22"/>
  <c r="E22"/>
  <c r="F23"/>
  <c r="D23"/>
  <c r="E23"/>
  <c r="F24"/>
  <c r="D24"/>
  <c r="E24"/>
  <c r="F25"/>
  <c r="D25"/>
  <c r="E25"/>
  <c r="F26"/>
  <c r="D26"/>
  <c r="E26"/>
  <c r="F27"/>
  <c r="D27"/>
  <c r="E27"/>
  <c r="F28"/>
  <c r="D28"/>
  <c r="E28"/>
  <c r="F29"/>
  <c r="D29"/>
  <c r="E29"/>
  <c r="F30"/>
  <c r="D30"/>
  <c r="E30"/>
  <c r="F31"/>
  <c r="D31"/>
  <c r="E31"/>
  <c r="E32"/>
  <c r="F32"/>
  <c r="D47"/>
  <c r="E47"/>
  <c r="D51"/>
  <c r="E51"/>
  <c r="D55"/>
  <c r="E55"/>
  <c r="D61"/>
  <c r="D63"/>
  <c r="D65"/>
  <c r="D67"/>
  <c r="D69"/>
  <c r="F5" i="53"/>
  <c r="J5"/>
  <c r="G6"/>
  <c r="D7"/>
  <c r="H7"/>
  <c r="E8"/>
  <c r="I8"/>
  <c r="F9"/>
  <c r="J9"/>
  <c r="G10"/>
  <c r="D11"/>
  <c r="H11"/>
  <c r="E12"/>
  <c r="I12"/>
  <c r="F13"/>
  <c r="J13"/>
  <c r="G14"/>
  <c r="D15"/>
  <c r="H15"/>
  <c r="E16"/>
  <c r="I16"/>
  <c r="G18"/>
  <c r="D19"/>
  <c r="H19"/>
  <c r="E20"/>
  <c r="I20"/>
  <c r="F21"/>
  <c r="J21"/>
  <c r="G22"/>
  <c r="D23"/>
  <c r="H23"/>
  <c r="E24"/>
  <c r="I24"/>
  <c r="F25"/>
  <c r="J25"/>
  <c r="G26"/>
  <c r="D27"/>
  <c r="H27"/>
  <c r="E28"/>
  <c r="I28"/>
  <c r="F29"/>
  <c r="J29"/>
  <c r="D31"/>
  <c r="H31"/>
  <c r="E32"/>
  <c r="I32"/>
  <c r="F33"/>
  <c r="J33"/>
  <c r="G34"/>
  <c r="D35"/>
  <c r="H35"/>
  <c r="E36"/>
  <c r="I36"/>
  <c r="F37"/>
  <c r="J37"/>
  <c r="G38"/>
  <c r="D39"/>
  <c r="H39"/>
  <c r="E40"/>
  <c r="I40"/>
  <c r="F41"/>
  <c r="J41"/>
  <c r="G42"/>
  <c r="E44"/>
  <c r="I44"/>
  <c r="F45"/>
  <c r="J45"/>
  <c r="G46"/>
  <c r="D47"/>
  <c r="H47"/>
  <c r="E48"/>
  <c r="I48"/>
  <c r="F49"/>
  <c r="J49"/>
  <c r="G50"/>
  <c r="D51"/>
  <c r="H51"/>
  <c r="E52"/>
  <c r="I52"/>
  <c r="F53"/>
  <c r="J53"/>
  <c r="G54"/>
  <c r="D55"/>
  <c r="H55"/>
  <c r="E13" i="55"/>
  <c r="D8" i="59"/>
  <c r="E8"/>
  <c r="F8"/>
  <c r="D9"/>
  <c r="E9"/>
  <c r="F9"/>
  <c r="D10"/>
  <c r="E10"/>
  <c r="F10"/>
  <c r="D11"/>
  <c r="E11"/>
  <c r="F11"/>
  <c r="D12"/>
  <c r="E12"/>
  <c r="F12"/>
  <c r="D13"/>
  <c r="E13"/>
  <c r="F13"/>
  <c r="D14"/>
  <c r="E14"/>
  <c r="F14"/>
  <c r="D15"/>
  <c r="E15"/>
  <c r="F15"/>
  <c r="D16"/>
  <c r="E16"/>
  <c r="F16"/>
  <c r="D17"/>
  <c r="E17"/>
  <c r="F17"/>
  <c r="D18"/>
  <c r="E18"/>
  <c r="F18"/>
  <c r="E19"/>
  <c r="F19"/>
  <c r="D48"/>
  <c r="E48"/>
  <c r="D52"/>
  <c r="E52"/>
  <c r="D56"/>
  <c r="E56"/>
  <c r="F5" i="64"/>
  <c r="J5"/>
  <c r="G6"/>
  <c r="D7"/>
  <c r="H7"/>
  <c r="E8"/>
  <c r="I8"/>
  <c r="F9"/>
  <c r="J9"/>
  <c r="G10"/>
  <c r="D11"/>
  <c r="H11"/>
  <c r="E12"/>
  <c r="I12"/>
  <c r="F13"/>
  <c r="J13"/>
  <c r="G14"/>
  <c r="D15"/>
  <c r="H15"/>
  <c r="E16"/>
  <c r="I16"/>
  <c r="G18"/>
  <c r="D19"/>
  <c r="H19"/>
  <c r="E20"/>
  <c r="I20"/>
  <c r="F21"/>
  <c r="J21"/>
  <c r="G22"/>
  <c r="D23"/>
  <c r="H23"/>
  <c r="E24"/>
  <c r="I24"/>
  <c r="F25"/>
  <c r="J25"/>
  <c r="G26"/>
  <c r="D27"/>
  <c r="H27"/>
  <c r="E28"/>
  <c r="I28"/>
  <c r="F29"/>
  <c r="J29"/>
  <c r="D31"/>
  <c r="H31"/>
  <c r="E32"/>
  <c r="I32"/>
  <c r="F33"/>
  <c r="J33"/>
  <c r="G34"/>
  <c r="D35"/>
  <c r="H35"/>
  <c r="E36"/>
  <c r="I36"/>
  <c r="F37"/>
  <c r="J37"/>
  <c r="G38"/>
  <c r="D39"/>
  <c r="H39"/>
  <c r="E40"/>
  <c r="I40"/>
  <c r="F41"/>
  <c r="J41"/>
  <c r="G42"/>
  <c r="E44"/>
  <c r="I44"/>
  <c r="F45"/>
  <c r="J45"/>
  <c r="G46"/>
  <c r="D47"/>
  <c r="H47"/>
  <c r="E48"/>
  <c r="I48"/>
  <c r="F49"/>
  <c r="J49"/>
  <c r="G50"/>
  <c r="D51"/>
  <c r="H51"/>
  <c r="E52"/>
  <c r="I52"/>
  <c r="F53"/>
  <c r="J53"/>
  <c r="G54"/>
  <c r="D55"/>
  <c r="H55"/>
  <c r="E13" i="66"/>
  <c r="D8" i="70"/>
  <c r="E8"/>
  <c r="F8"/>
  <c r="D9"/>
  <c r="E9"/>
  <c r="F9"/>
  <c r="D10"/>
  <c r="E10"/>
  <c r="F10"/>
  <c r="D11"/>
  <c r="E11"/>
  <c r="F11"/>
  <c r="D12"/>
  <c r="E12"/>
  <c r="F12"/>
  <c r="D13"/>
  <c r="E13"/>
  <c r="F13"/>
  <c r="D14"/>
  <c r="E14"/>
  <c r="F14"/>
  <c r="D15"/>
  <c r="E15"/>
  <c r="F15"/>
  <c r="D16"/>
  <c r="E16"/>
  <c r="F16"/>
  <c r="D17"/>
  <c r="E17"/>
  <c r="F17"/>
  <c r="D18"/>
  <c r="E18"/>
  <c r="F18"/>
  <c r="E19"/>
  <c r="F19"/>
  <c r="D10" i="73"/>
  <c r="F13"/>
  <c r="G13"/>
  <c r="D15"/>
  <c r="F18"/>
  <c r="G18"/>
  <c r="D21"/>
  <c r="F23"/>
  <c r="G23"/>
  <c r="D26"/>
  <c r="F10" i="75"/>
  <c r="G10"/>
  <c r="D12"/>
  <c r="F13"/>
  <c r="G13"/>
  <c r="D14"/>
  <c r="F15"/>
  <c r="G15"/>
  <c r="D16"/>
  <c r="F18"/>
  <c r="G18"/>
  <c r="D24"/>
  <c r="F26"/>
  <c r="G26"/>
  <c r="D27"/>
  <c r="F28"/>
  <c r="G28"/>
  <c r="D29"/>
  <c r="M30"/>
  <c r="N30"/>
  <c r="K32"/>
  <c r="D10" i="77"/>
  <c r="F13"/>
  <c r="G13"/>
  <c r="D15"/>
  <c r="F18"/>
  <c r="G18"/>
  <c r="D21"/>
  <c r="F23"/>
  <c r="G23"/>
  <c r="D26"/>
  <c r="D10" i="79"/>
  <c r="F12"/>
  <c r="G12"/>
  <c r="D13"/>
  <c r="F14"/>
  <c r="G14"/>
  <c r="D15"/>
  <c r="F16"/>
  <c r="G16"/>
  <c r="D18"/>
  <c r="F24"/>
  <c r="G24"/>
  <c r="D26"/>
  <c r="F27"/>
  <c r="G27"/>
  <c r="D28"/>
  <c r="F29"/>
  <c r="G29"/>
  <c r="K30"/>
  <c r="M32"/>
  <c r="N32"/>
  <c r="E11" i="81"/>
  <c r="E10" i="85"/>
  <c r="E5" i="64"/>
  <c r="I5"/>
  <c r="F6"/>
  <c r="J6"/>
  <c r="G7"/>
  <c r="D8"/>
  <c r="H8"/>
  <c r="E9"/>
  <c r="I9"/>
  <c r="F10"/>
  <c r="J10"/>
  <c r="G11"/>
  <c r="D12"/>
  <c r="H12"/>
  <c r="E13"/>
  <c r="I13"/>
  <c r="F14"/>
  <c r="J14"/>
  <c r="G15"/>
  <c r="D16"/>
  <c r="H16"/>
  <c r="F18"/>
  <c r="J18"/>
  <c r="G19"/>
  <c r="D20"/>
  <c r="H20"/>
  <c r="E21"/>
  <c r="I21"/>
  <c r="F22"/>
  <c r="J22"/>
  <c r="G23"/>
  <c r="D24"/>
  <c r="H24"/>
  <c r="E25"/>
  <c r="I25"/>
  <c r="F26"/>
  <c r="J26"/>
  <c r="G27"/>
  <c r="D28"/>
  <c r="H28"/>
  <c r="E29"/>
  <c r="I29"/>
  <c r="G31"/>
  <c r="D32"/>
  <c r="H32"/>
  <c r="E33"/>
  <c r="I33"/>
  <c r="F34"/>
  <c r="J34"/>
  <c r="G35"/>
  <c r="D36"/>
  <c r="H36"/>
  <c r="E37"/>
  <c r="I37"/>
  <c r="F38"/>
  <c r="J38"/>
  <c r="G39"/>
  <c r="D40"/>
  <c r="H40"/>
  <c r="E41"/>
  <c r="I41"/>
  <c r="F42"/>
  <c r="J42"/>
  <c r="D44"/>
  <c r="H44"/>
  <c r="E45"/>
  <c r="I45"/>
  <c r="F46"/>
  <c r="J46"/>
  <c r="G47"/>
  <c r="D48"/>
  <c r="H48"/>
  <c r="E49"/>
  <c r="I49"/>
  <c r="F50"/>
  <c r="J50"/>
  <c r="G51"/>
  <c r="D52"/>
  <c r="H52"/>
  <c r="E53"/>
  <c r="I53"/>
  <c r="F54"/>
  <c r="J54"/>
  <c r="G55"/>
  <c r="E9" i="66"/>
  <c r="E14"/>
  <c r="E34" i="70"/>
  <c r="F34"/>
  <c r="F46"/>
  <c r="D34"/>
  <c r="E35"/>
  <c r="F35"/>
  <c r="D35"/>
  <c r="E36"/>
  <c r="F36"/>
  <c r="D36"/>
  <c r="E37"/>
  <c r="F37"/>
  <c r="D37"/>
  <c r="E38"/>
  <c r="F38"/>
  <c r="D38"/>
  <c r="E39"/>
  <c r="F39"/>
  <c r="D39"/>
  <c r="E40"/>
  <c r="F40"/>
  <c r="D40"/>
  <c r="E41"/>
  <c r="F41"/>
  <c r="D41"/>
  <c r="E42"/>
  <c r="F42"/>
  <c r="D42"/>
  <c r="E43"/>
  <c r="F43"/>
  <c r="D43"/>
  <c r="E44"/>
  <c r="F44"/>
  <c r="D44"/>
  <c r="F45"/>
  <c r="E45"/>
  <c r="E60"/>
  <c r="F60"/>
  <c r="F72"/>
  <c r="D60"/>
  <c r="E61"/>
  <c r="D61"/>
  <c r="E62"/>
  <c r="D62"/>
  <c r="E63"/>
  <c r="D63"/>
  <c r="E64"/>
  <c r="D64"/>
  <c r="E65"/>
  <c r="D65"/>
  <c r="E66"/>
  <c r="D66"/>
  <c r="E67"/>
  <c r="D67"/>
  <c r="E68"/>
  <c r="D68"/>
  <c r="E69"/>
  <c r="D69"/>
  <c r="E70"/>
  <c r="D70"/>
  <c r="E71"/>
  <c r="D9" i="73"/>
  <c r="G11"/>
  <c r="F11"/>
  <c r="D14"/>
  <c r="G17"/>
  <c r="F17"/>
  <c r="D19"/>
  <c r="G22"/>
  <c r="F22"/>
  <c r="D25"/>
  <c r="G27"/>
  <c r="F27"/>
  <c r="K10" i="75"/>
  <c r="N12"/>
  <c r="M12"/>
  <c r="K13"/>
  <c r="N14"/>
  <c r="M14"/>
  <c r="K15"/>
  <c r="N16"/>
  <c r="M16"/>
  <c r="K18"/>
  <c r="N24"/>
  <c r="M24"/>
  <c r="K26"/>
  <c r="N27"/>
  <c r="M27"/>
  <c r="K28"/>
  <c r="N29"/>
  <c r="M29"/>
  <c r="D31"/>
  <c r="D9" i="77"/>
  <c r="G11"/>
  <c r="F11"/>
  <c r="D14"/>
  <c r="G17"/>
  <c r="F17"/>
  <c r="D19"/>
  <c r="G22"/>
  <c r="F22"/>
  <c r="D27"/>
  <c r="D25"/>
  <c r="N10" i="79"/>
  <c r="M10"/>
  <c r="K12"/>
  <c r="N13"/>
  <c r="M13"/>
  <c r="K14"/>
  <c r="N15"/>
  <c r="M15"/>
  <c r="K16"/>
  <c r="N18"/>
  <c r="M18"/>
  <c r="K24"/>
  <c r="N26"/>
  <c r="M26"/>
  <c r="K27"/>
  <c r="N28"/>
  <c r="M28"/>
  <c r="K29"/>
  <c r="G31"/>
  <c r="F31"/>
  <c r="J32" i="83"/>
  <c r="D5" i="64"/>
  <c r="H5"/>
  <c r="E6"/>
  <c r="I6"/>
  <c r="F7"/>
  <c r="J7"/>
  <c r="G8"/>
  <c r="D9"/>
  <c r="H9"/>
  <c r="E10"/>
  <c r="I10"/>
  <c r="F11"/>
  <c r="J11"/>
  <c r="G12"/>
  <c r="D13"/>
  <c r="H13"/>
  <c r="E14"/>
  <c r="I14"/>
  <c r="F15"/>
  <c r="J15"/>
  <c r="G16"/>
  <c r="E18"/>
  <c r="I18"/>
  <c r="F19"/>
  <c r="J19"/>
  <c r="G20"/>
  <c r="D21"/>
  <c r="H21"/>
  <c r="E22"/>
  <c r="I22"/>
  <c r="F23"/>
  <c r="J23"/>
  <c r="G24"/>
  <c r="D25"/>
  <c r="H25"/>
  <c r="E26"/>
  <c r="I26"/>
  <c r="F27"/>
  <c r="J27"/>
  <c r="G28"/>
  <c r="D29"/>
  <c r="H29"/>
  <c r="F31"/>
  <c r="J31"/>
  <c r="G32"/>
  <c r="D33"/>
  <c r="H33"/>
  <c r="E34"/>
  <c r="I34"/>
  <c r="F35"/>
  <c r="J35"/>
  <c r="G36"/>
  <c r="D37"/>
  <c r="H37"/>
  <c r="E38"/>
  <c r="I38"/>
  <c r="F39"/>
  <c r="J39"/>
  <c r="G40"/>
  <c r="D41"/>
  <c r="H41"/>
  <c r="E42"/>
  <c r="I42"/>
  <c r="G44"/>
  <c r="D45"/>
  <c r="H45"/>
  <c r="E46"/>
  <c r="I46"/>
  <c r="F47"/>
  <c r="J47"/>
  <c r="G48"/>
  <c r="D49"/>
  <c r="H49"/>
  <c r="E50"/>
  <c r="I50"/>
  <c r="F51"/>
  <c r="J51"/>
  <c r="G52"/>
  <c r="D53"/>
  <c r="H53"/>
  <c r="E54"/>
  <c r="I54"/>
  <c r="F55"/>
  <c r="J55"/>
  <c r="E10" i="66"/>
  <c r="E15"/>
  <c r="F10" i="73"/>
  <c r="G10"/>
  <c r="D13"/>
  <c r="F15"/>
  <c r="G15"/>
  <c r="D18"/>
  <c r="F21"/>
  <c r="G21"/>
  <c r="D23"/>
  <c r="F26"/>
  <c r="G26"/>
  <c r="D10" i="75"/>
  <c r="F12"/>
  <c r="G12"/>
  <c r="D13"/>
  <c r="F14"/>
  <c r="G14"/>
  <c r="D15"/>
  <c r="F16"/>
  <c r="G16"/>
  <c r="D18"/>
  <c r="F24"/>
  <c r="G24"/>
  <c r="D26"/>
  <c r="F27"/>
  <c r="G27"/>
  <c r="D28"/>
  <c r="F29"/>
  <c r="G29"/>
  <c r="K30"/>
  <c r="M32"/>
  <c r="N32"/>
  <c r="F10" i="77"/>
  <c r="G10"/>
  <c r="D13"/>
  <c r="F15"/>
  <c r="G15"/>
  <c r="D18"/>
  <c r="F21"/>
  <c r="G21"/>
  <c r="D23"/>
  <c r="F26"/>
  <c r="G26"/>
  <c r="F10" i="79"/>
  <c r="G10"/>
  <c r="D12"/>
  <c r="F13"/>
  <c r="G13"/>
  <c r="D14"/>
  <c r="F15"/>
  <c r="G15"/>
  <c r="D16"/>
  <c r="F18"/>
  <c r="G18"/>
  <c r="D24"/>
  <c r="F26"/>
  <c r="G26"/>
  <c r="D27"/>
  <c r="F28"/>
  <c r="G28"/>
  <c r="D29"/>
  <c r="M30"/>
  <c r="N30"/>
  <c r="K32"/>
  <c r="E9" i="81"/>
  <c r="G5" i="64"/>
  <c r="D6"/>
  <c r="H6"/>
  <c r="E7"/>
  <c r="I7"/>
  <c r="F8"/>
  <c r="J8"/>
  <c r="G9"/>
  <c r="D10"/>
  <c r="H10"/>
  <c r="E11"/>
  <c r="I11"/>
  <c r="F12"/>
  <c r="J12"/>
  <c r="G13"/>
  <c r="D14"/>
  <c r="H14"/>
  <c r="E15"/>
  <c r="I15"/>
  <c r="F16"/>
  <c r="J16"/>
  <c r="D18"/>
  <c r="H18"/>
  <c r="E19"/>
  <c r="I19"/>
  <c r="F20"/>
  <c r="J20"/>
  <c r="G21"/>
  <c r="D22"/>
  <c r="H22"/>
  <c r="E23"/>
  <c r="I23"/>
  <c r="F24"/>
  <c r="J24"/>
  <c r="G25"/>
  <c r="D26"/>
  <c r="H26"/>
  <c r="E27"/>
  <c r="I27"/>
  <c r="F28"/>
  <c r="J28"/>
  <c r="G29"/>
  <c r="E31"/>
  <c r="I31"/>
  <c r="F32"/>
  <c r="J32"/>
  <c r="G33"/>
  <c r="D34"/>
  <c r="H34"/>
  <c r="E35"/>
  <c r="I35"/>
  <c r="F36"/>
  <c r="J36"/>
  <c r="G37"/>
  <c r="D38"/>
  <c r="H38"/>
  <c r="E39"/>
  <c r="I39"/>
  <c r="F40"/>
  <c r="J40"/>
  <c r="G41"/>
  <c r="D42"/>
  <c r="H42"/>
  <c r="F44"/>
  <c r="J44"/>
  <c r="G45"/>
  <c r="D46"/>
  <c r="H46"/>
  <c r="E47"/>
  <c r="I47"/>
  <c r="F48"/>
  <c r="J48"/>
  <c r="G49"/>
  <c r="D50"/>
  <c r="H50"/>
  <c r="E51"/>
  <c r="I51"/>
  <c r="F52"/>
  <c r="J52"/>
  <c r="G53"/>
  <c r="D54"/>
  <c r="H54"/>
  <c r="E55"/>
  <c r="I55"/>
  <c r="E11" i="66"/>
  <c r="F33" i="70"/>
  <c r="D21"/>
  <c r="E21"/>
  <c r="F21"/>
  <c r="D22"/>
  <c r="E22"/>
  <c r="F22"/>
  <c r="D23"/>
  <c r="E23"/>
  <c r="F23"/>
  <c r="D24"/>
  <c r="E24"/>
  <c r="F24"/>
  <c r="D25"/>
  <c r="E25"/>
  <c r="F25"/>
  <c r="D26"/>
  <c r="E26"/>
  <c r="F26"/>
  <c r="D27"/>
  <c r="E27"/>
  <c r="F27"/>
  <c r="D28"/>
  <c r="E28"/>
  <c r="F28"/>
  <c r="D29"/>
  <c r="E29"/>
  <c r="F29"/>
  <c r="D30"/>
  <c r="E30"/>
  <c r="F30"/>
  <c r="D31"/>
  <c r="E31"/>
  <c r="F31"/>
  <c r="E32"/>
  <c r="F32"/>
  <c r="F59"/>
  <c r="D47"/>
  <c r="E47"/>
  <c r="F47"/>
  <c r="D48"/>
  <c r="E48"/>
  <c r="F48"/>
  <c r="D49"/>
  <c r="E49"/>
  <c r="F49"/>
  <c r="D50"/>
  <c r="E50"/>
  <c r="F50"/>
  <c r="D51"/>
  <c r="E51"/>
  <c r="F51"/>
  <c r="D52"/>
  <c r="E52"/>
  <c r="F52"/>
  <c r="D53"/>
  <c r="E53"/>
  <c r="F53"/>
  <c r="D54"/>
  <c r="E54"/>
  <c r="F54"/>
  <c r="D55"/>
  <c r="E55"/>
  <c r="F55"/>
  <c r="D56"/>
  <c r="E56"/>
  <c r="F56"/>
  <c r="D57"/>
  <c r="E57"/>
  <c r="F57"/>
  <c r="E58"/>
  <c r="F58"/>
  <c r="F9" i="73"/>
  <c r="G9"/>
  <c r="D11"/>
  <c r="F14"/>
  <c r="G14"/>
  <c r="D17"/>
  <c r="F19"/>
  <c r="G19"/>
  <c r="D22"/>
  <c r="F25"/>
  <c r="G25"/>
  <c r="D27"/>
  <c r="M10" i="75"/>
  <c r="N10"/>
  <c r="K12"/>
  <c r="M13"/>
  <c r="N13"/>
  <c r="K14"/>
  <c r="M15"/>
  <c r="N15"/>
  <c r="K16"/>
  <c r="M18"/>
  <c r="N18"/>
  <c r="K24"/>
  <c r="M26"/>
  <c r="N26"/>
  <c r="K27"/>
  <c r="M28"/>
  <c r="N28"/>
  <c r="K29"/>
  <c r="F31"/>
  <c r="G31"/>
  <c r="F9" i="77"/>
  <c r="G9"/>
  <c r="D11"/>
  <c r="F14"/>
  <c r="G14"/>
  <c r="D17"/>
  <c r="F19"/>
  <c r="G19"/>
  <c r="D22"/>
  <c r="F27"/>
  <c r="F25"/>
  <c r="G25"/>
  <c r="K10" i="79"/>
  <c r="M12"/>
  <c r="N12"/>
  <c r="K13"/>
  <c r="M14"/>
  <c r="N14"/>
  <c r="K15"/>
  <c r="M16"/>
  <c r="N16"/>
  <c r="K18"/>
  <c r="M24"/>
  <c r="N24"/>
  <c r="K26"/>
  <c r="M27"/>
  <c r="N27"/>
  <c r="K28"/>
  <c r="M29"/>
  <c r="N29"/>
  <c r="D31"/>
  <c r="E10" i="81"/>
  <c r="E11" i="85"/>
  <c r="E9" i="91"/>
  <c r="D10"/>
  <c r="C11"/>
  <c r="G11"/>
  <c r="F12"/>
  <c r="E13"/>
  <c r="D14"/>
  <c r="C15"/>
  <c r="G15"/>
  <c r="F16"/>
  <c r="D17" i="89"/>
  <c r="D17" i="91" s="1"/>
  <c r="D18"/>
  <c r="C19"/>
  <c r="G19"/>
  <c r="F20"/>
  <c r="E21"/>
  <c r="D22"/>
  <c r="C23"/>
  <c r="G23"/>
  <c r="F24"/>
  <c r="E25"/>
  <c r="D26"/>
  <c r="C27"/>
  <c r="G27"/>
  <c r="F28"/>
  <c r="E29"/>
  <c r="C30" i="89"/>
  <c r="C30" i="91" s="1"/>
  <c r="C31"/>
  <c r="G30" i="89"/>
  <c r="G30" i="91" s="1"/>
  <c r="G31"/>
  <c r="M9" i="93"/>
  <c r="N9"/>
  <c r="K10"/>
  <c r="M11"/>
  <c r="N11"/>
  <c r="K13"/>
  <c r="M14"/>
  <c r="N14"/>
  <c r="K17"/>
  <c r="M18"/>
  <c r="N18"/>
  <c r="K19"/>
  <c r="M21"/>
  <c r="N21"/>
  <c r="K22"/>
  <c r="M23"/>
  <c r="N23"/>
  <c r="K25"/>
  <c r="M26"/>
  <c r="N26"/>
  <c r="K27"/>
  <c r="M29"/>
  <c r="N29"/>
  <c r="K30"/>
  <c r="M31"/>
  <c r="N31"/>
  <c r="K33"/>
  <c r="M34"/>
  <c r="N34"/>
  <c r="K35"/>
  <c r="M37"/>
  <c r="N37"/>
  <c r="K38"/>
  <c r="M39"/>
  <c r="N39"/>
  <c r="L8" i="95"/>
  <c r="N9"/>
  <c r="O9"/>
  <c r="L10"/>
  <c r="N11"/>
  <c r="O11"/>
  <c r="L12"/>
  <c r="N13"/>
  <c r="O13"/>
  <c r="L14"/>
  <c r="N21"/>
  <c r="O21"/>
  <c r="L22"/>
  <c r="N23"/>
  <c r="O23"/>
  <c r="L24"/>
  <c r="N25"/>
  <c r="O25"/>
  <c r="L26"/>
  <c r="N27"/>
  <c r="O27"/>
  <c r="L33"/>
  <c r="N34"/>
  <c r="O34"/>
  <c r="L35"/>
  <c r="N36"/>
  <c r="O36"/>
  <c r="L37"/>
  <c r="N38"/>
  <c r="O38"/>
  <c r="L44"/>
  <c r="N45"/>
  <c r="O45"/>
  <c r="L46"/>
  <c r="N47"/>
  <c r="O47"/>
  <c r="L48"/>
  <c r="N49"/>
  <c r="O49"/>
  <c r="F8" i="101"/>
  <c r="D7" i="99"/>
  <c r="D8" i="101" s="1"/>
  <c r="L9"/>
  <c r="J10"/>
  <c r="H11"/>
  <c r="F12"/>
  <c r="D11" i="99"/>
  <c r="D12" i="101" s="1"/>
  <c r="L13"/>
  <c r="J14"/>
  <c r="I14"/>
  <c r="H15"/>
  <c r="D15" i="99"/>
  <c r="D16" i="101" s="1"/>
  <c r="F16"/>
  <c r="L17"/>
  <c r="J18"/>
  <c r="G19"/>
  <c r="H19"/>
  <c r="F20"/>
  <c r="D19" i="99"/>
  <c r="D20" i="101" s="1"/>
  <c r="L21"/>
  <c r="J22"/>
  <c r="H23"/>
  <c r="F24"/>
  <c r="D23" i="99"/>
  <c r="D24" i="101" s="1"/>
  <c r="L25"/>
  <c r="J26"/>
  <c r="G27"/>
  <c r="H27"/>
  <c r="F28"/>
  <c r="D27" i="99"/>
  <c r="D28" i="101" s="1"/>
  <c r="L29"/>
  <c r="J30"/>
  <c r="H31"/>
  <c r="F32"/>
  <c r="D31" i="99"/>
  <c r="D32" i="101" s="1"/>
  <c r="L33"/>
  <c r="J34"/>
  <c r="G35"/>
  <c r="H35"/>
  <c r="F36"/>
  <c r="D35" i="99"/>
  <c r="D36" i="101" s="1"/>
  <c r="L37"/>
  <c r="J38"/>
  <c r="H39"/>
  <c r="I39" s="1"/>
  <c r="D9" i="91"/>
  <c r="C10"/>
  <c r="G10"/>
  <c r="F11"/>
  <c r="E12"/>
  <c r="D13"/>
  <c r="C14"/>
  <c r="G14"/>
  <c r="F15"/>
  <c r="E16"/>
  <c r="C17" i="89"/>
  <c r="C17" i="91" s="1"/>
  <c r="C18"/>
  <c r="G17" i="89"/>
  <c r="G17" i="91" s="1"/>
  <c r="G18"/>
  <c r="F19"/>
  <c r="E20"/>
  <c r="D21"/>
  <c r="C22"/>
  <c r="G22"/>
  <c r="F23"/>
  <c r="E24"/>
  <c r="D25"/>
  <c r="C26"/>
  <c r="G26"/>
  <c r="F27"/>
  <c r="E28"/>
  <c r="D29"/>
  <c r="F30" i="89"/>
  <c r="F30" i="91" s="1"/>
  <c r="F31"/>
  <c r="G9" i="93"/>
  <c r="F9"/>
  <c r="D10"/>
  <c r="G11"/>
  <c r="F11"/>
  <c r="D13"/>
  <c r="G14"/>
  <c r="F14"/>
  <c r="D17"/>
  <c r="G18"/>
  <c r="F18"/>
  <c r="D19"/>
  <c r="G21"/>
  <c r="F21"/>
  <c r="D22"/>
  <c r="G23"/>
  <c r="F23"/>
  <c r="D25"/>
  <c r="G26"/>
  <c r="F26"/>
  <c r="D27"/>
  <c r="G29"/>
  <c r="F29"/>
  <c r="D30"/>
  <c r="G31"/>
  <c r="F31"/>
  <c r="D33"/>
  <c r="G34"/>
  <c r="F34"/>
  <c r="D35"/>
  <c r="G37"/>
  <c r="F37"/>
  <c r="D38"/>
  <c r="G39"/>
  <c r="F39"/>
  <c r="E8" i="95"/>
  <c r="H9"/>
  <c r="G9"/>
  <c r="E10"/>
  <c r="H11"/>
  <c r="G11"/>
  <c r="E12"/>
  <c r="H13"/>
  <c r="G13"/>
  <c r="E14"/>
  <c r="H21"/>
  <c r="G21"/>
  <c r="E22"/>
  <c r="H23"/>
  <c r="G23"/>
  <c r="E24"/>
  <c r="H25"/>
  <c r="G25"/>
  <c r="E26"/>
  <c r="H27"/>
  <c r="G27"/>
  <c r="E33"/>
  <c r="H34"/>
  <c r="G34"/>
  <c r="E35"/>
  <c r="H36"/>
  <c r="G36"/>
  <c r="E37"/>
  <c r="H38"/>
  <c r="G38"/>
  <c r="E44"/>
  <c r="H45"/>
  <c r="G45"/>
  <c r="E46"/>
  <c r="H47"/>
  <c r="G47"/>
  <c r="E48"/>
  <c r="H49"/>
  <c r="G49"/>
  <c r="E50"/>
  <c r="L50"/>
  <c r="L8" i="101"/>
  <c r="I9"/>
  <c r="J9"/>
  <c r="H10"/>
  <c r="F11"/>
  <c r="D10" i="99"/>
  <c r="D11" i="101" s="1"/>
  <c r="L12"/>
  <c r="J13"/>
  <c r="G14"/>
  <c r="H14"/>
  <c r="F15"/>
  <c r="D14" i="99"/>
  <c r="D15" i="101" s="1"/>
  <c r="L16"/>
  <c r="I17"/>
  <c r="J17"/>
  <c r="H18"/>
  <c r="F19"/>
  <c r="D18" i="99"/>
  <c r="D19" i="101" s="1"/>
  <c r="L20"/>
  <c r="J21"/>
  <c r="G22"/>
  <c r="H22"/>
  <c r="D22" i="99"/>
  <c r="D23" i="101" s="1"/>
  <c r="F23"/>
  <c r="L24"/>
  <c r="J25"/>
  <c r="H26"/>
  <c r="I26" s="1"/>
  <c r="F27"/>
  <c r="D26" i="99"/>
  <c r="D27" i="101" s="1"/>
  <c r="L28"/>
  <c r="J29"/>
  <c r="H30"/>
  <c r="F31"/>
  <c r="D30" i="99"/>
  <c r="D31" i="101" s="1"/>
  <c r="L32"/>
  <c r="J33"/>
  <c r="G34"/>
  <c r="H34"/>
  <c r="I34" s="1"/>
  <c r="F35"/>
  <c r="D34" i="99"/>
  <c r="D35" i="101" s="1"/>
  <c r="L36"/>
  <c r="J37"/>
  <c r="H38"/>
  <c r="I38" s="1"/>
  <c r="F39"/>
  <c r="G39" s="1"/>
  <c r="D38" i="99"/>
  <c r="D39" i="101" s="1"/>
  <c r="E39" s="1"/>
  <c r="E8" i="102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C9" i="91"/>
  <c r="G9"/>
  <c r="F10"/>
  <c r="E11"/>
  <c r="D12"/>
  <c r="C13"/>
  <c r="G13"/>
  <c r="F14"/>
  <c r="E15"/>
  <c r="D16"/>
  <c r="F17" i="89"/>
  <c r="F17" i="91" s="1"/>
  <c r="F18"/>
  <c r="E19"/>
  <c r="D20"/>
  <c r="C21"/>
  <c r="G21"/>
  <c r="F22"/>
  <c r="E23"/>
  <c r="D24"/>
  <c r="C25"/>
  <c r="G25"/>
  <c r="F26"/>
  <c r="E27"/>
  <c r="D28"/>
  <c r="C29"/>
  <c r="G29"/>
  <c r="E30" i="89"/>
  <c r="E30" i="91" s="1"/>
  <c r="E31"/>
  <c r="K9" i="93"/>
  <c r="M10"/>
  <c r="N10"/>
  <c r="K11"/>
  <c r="M13"/>
  <c r="N13"/>
  <c r="K14"/>
  <c r="M17"/>
  <c r="N17"/>
  <c r="K18"/>
  <c r="M19"/>
  <c r="N19"/>
  <c r="K21"/>
  <c r="M22"/>
  <c r="N22"/>
  <c r="K23"/>
  <c r="M25"/>
  <c r="N25"/>
  <c r="K26"/>
  <c r="M27"/>
  <c r="N27"/>
  <c r="K29"/>
  <c r="M30"/>
  <c r="N30"/>
  <c r="K31"/>
  <c r="M33"/>
  <c r="N33"/>
  <c r="K34"/>
  <c r="M35"/>
  <c r="N35"/>
  <c r="K37"/>
  <c r="M38"/>
  <c r="N38"/>
  <c r="K39"/>
  <c r="N8" i="95"/>
  <c r="O8"/>
  <c r="L9"/>
  <c r="N10"/>
  <c r="O10"/>
  <c r="L11"/>
  <c r="N12"/>
  <c r="O12"/>
  <c r="L13"/>
  <c r="N14"/>
  <c r="O14"/>
  <c r="L21"/>
  <c r="N22"/>
  <c r="O22"/>
  <c r="L23"/>
  <c r="N24"/>
  <c r="O24"/>
  <c r="L25"/>
  <c r="N26"/>
  <c r="O26"/>
  <c r="L27"/>
  <c r="N33"/>
  <c r="O33"/>
  <c r="L34"/>
  <c r="N35"/>
  <c r="O35"/>
  <c r="L36"/>
  <c r="N37"/>
  <c r="O37"/>
  <c r="L38"/>
  <c r="N44"/>
  <c r="O44"/>
  <c r="L45"/>
  <c r="N46"/>
  <c r="O46"/>
  <c r="L47"/>
  <c r="N48"/>
  <c r="O48"/>
  <c r="L49"/>
  <c r="J8" i="101"/>
  <c r="G9"/>
  <c r="H9"/>
  <c r="F10"/>
  <c r="G10" s="1"/>
  <c r="D9" i="99"/>
  <c r="D10" i="101" s="1"/>
  <c r="E10" s="1"/>
  <c r="L11"/>
  <c r="I12"/>
  <c r="J12"/>
  <c r="H13"/>
  <c r="F14"/>
  <c r="D13" i="99"/>
  <c r="D14" i="101" s="1"/>
  <c r="L15"/>
  <c r="J16"/>
  <c r="G17"/>
  <c r="H17"/>
  <c r="D17" i="99"/>
  <c r="D18" i="101" s="1"/>
  <c r="F18"/>
  <c r="G18" s="1"/>
  <c r="L19"/>
  <c r="J20"/>
  <c r="H21"/>
  <c r="D21" i="99"/>
  <c r="D22" i="101" s="1"/>
  <c r="E22" s="1"/>
  <c r="F22"/>
  <c r="L23"/>
  <c r="J24"/>
  <c r="H25"/>
  <c r="D25" i="99"/>
  <c r="D26" i="101" s="1"/>
  <c r="F26"/>
  <c r="L27"/>
  <c r="J28"/>
  <c r="H29"/>
  <c r="I29" s="1"/>
  <c r="F30"/>
  <c r="D29" i="99"/>
  <c r="D30" i="101" s="1"/>
  <c r="L31"/>
  <c r="J32"/>
  <c r="G33"/>
  <c r="H33"/>
  <c r="F34"/>
  <c r="D33" i="99"/>
  <c r="D34" i="101" s="1"/>
  <c r="L35"/>
  <c r="J36"/>
  <c r="H37"/>
  <c r="G37"/>
  <c r="D37" i="99"/>
  <c r="D38" i="101" s="1"/>
  <c r="F38"/>
  <c r="G38" s="1"/>
  <c r="L39"/>
  <c r="M39" s="1"/>
  <c r="E9" i="85"/>
  <c r="F9" i="91"/>
  <c r="E10"/>
  <c r="D11"/>
  <c r="C12"/>
  <c r="G12"/>
  <c r="F13"/>
  <c r="E14"/>
  <c r="D15"/>
  <c r="C16"/>
  <c r="G16"/>
  <c r="E18"/>
  <c r="E17" i="89"/>
  <c r="E17" i="91" s="1"/>
  <c r="D19"/>
  <c r="C20"/>
  <c r="G20"/>
  <c r="F21"/>
  <c r="E22"/>
  <c r="D23"/>
  <c r="C24"/>
  <c r="G24"/>
  <c r="F25"/>
  <c r="E26"/>
  <c r="D27"/>
  <c r="C28"/>
  <c r="G28"/>
  <c r="F29"/>
  <c r="D31"/>
  <c r="D30" i="89"/>
  <c r="D30" i="91" s="1"/>
  <c r="D9" i="93"/>
  <c r="F10"/>
  <c r="G10"/>
  <c r="D11"/>
  <c r="F13"/>
  <c r="G13"/>
  <c r="D14"/>
  <c r="F17"/>
  <c r="G17"/>
  <c r="D18"/>
  <c r="F19"/>
  <c r="G19"/>
  <c r="D21"/>
  <c r="F22"/>
  <c r="G22"/>
  <c r="D23"/>
  <c r="F25"/>
  <c r="G25"/>
  <c r="D26"/>
  <c r="F27"/>
  <c r="G27"/>
  <c r="D29"/>
  <c r="F30"/>
  <c r="G30"/>
  <c r="D31"/>
  <c r="F33"/>
  <c r="G33"/>
  <c r="D34"/>
  <c r="F35"/>
  <c r="G35"/>
  <c r="D37"/>
  <c r="F38"/>
  <c r="G38"/>
  <c r="D39"/>
  <c r="G8" i="95"/>
  <c r="H8"/>
  <c r="E9"/>
  <c r="G10"/>
  <c r="H10"/>
  <c r="E11"/>
  <c r="G12"/>
  <c r="H12"/>
  <c r="E13"/>
  <c r="G14"/>
  <c r="H14"/>
  <c r="E21"/>
  <c r="G22"/>
  <c r="H22"/>
  <c r="E23"/>
  <c r="G24"/>
  <c r="H24"/>
  <c r="E25"/>
  <c r="G26"/>
  <c r="H26"/>
  <c r="E27"/>
  <c r="G33"/>
  <c r="H33"/>
  <c r="E34"/>
  <c r="G35"/>
  <c r="H35"/>
  <c r="E36"/>
  <c r="G37"/>
  <c r="H37"/>
  <c r="E38"/>
  <c r="G44"/>
  <c r="H44"/>
  <c r="E45"/>
  <c r="G46"/>
  <c r="H46"/>
  <c r="E47"/>
  <c r="G48"/>
  <c r="H48"/>
  <c r="E49"/>
  <c r="G50"/>
  <c r="N50"/>
  <c r="H8" i="101"/>
  <c r="I8" s="1"/>
  <c r="F9"/>
  <c r="D8" i="99"/>
  <c r="D9" i="101" s="1"/>
  <c r="L10"/>
  <c r="M10" s="1"/>
  <c r="J11"/>
  <c r="H12"/>
  <c r="G12"/>
  <c r="F13"/>
  <c r="G13" s="1"/>
  <c r="D12" i="99"/>
  <c r="D13" i="101" s="1"/>
  <c r="L14"/>
  <c r="J15"/>
  <c r="H16"/>
  <c r="F17"/>
  <c r="D16" i="99"/>
  <c r="D17" i="101" s="1"/>
  <c r="L18"/>
  <c r="J19"/>
  <c r="G20"/>
  <c r="H20"/>
  <c r="F21"/>
  <c r="G21" s="1"/>
  <c r="D20" i="99"/>
  <c r="D21" i="101" s="1"/>
  <c r="E21" s="1"/>
  <c r="L22"/>
  <c r="J23"/>
  <c r="H24"/>
  <c r="F25"/>
  <c r="G25" s="1"/>
  <c r="D24" i="99"/>
  <c r="D25" i="101" s="1"/>
  <c r="L26"/>
  <c r="J27"/>
  <c r="H28"/>
  <c r="F29"/>
  <c r="D28" i="99"/>
  <c r="D29" i="101" s="1"/>
  <c r="L30"/>
  <c r="J31"/>
  <c r="H32"/>
  <c r="F33"/>
  <c r="D32" i="99"/>
  <c r="D33" i="101" s="1"/>
  <c r="L34"/>
  <c r="M34" s="1"/>
  <c r="J35"/>
  <c r="G36"/>
  <c r="H36"/>
  <c r="F37"/>
  <c r="D36" i="99"/>
  <c r="D37" i="101" s="1"/>
  <c r="L38"/>
  <c r="J39"/>
  <c r="K39" s="1"/>
  <c r="I8" i="102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D31" i="51"/>
  <c r="F33" i="59"/>
  <c r="F59"/>
  <c r="E27" i="83"/>
  <c r="J28"/>
  <c r="E14" i="85"/>
  <c r="E21"/>
  <c r="E25"/>
  <c r="J12" i="87"/>
  <c r="E14"/>
  <c r="J16"/>
  <c r="E24"/>
  <c r="E29"/>
  <c r="E15" i="85"/>
  <c r="E19"/>
  <c r="E26"/>
  <c r="J14" i="87"/>
  <c r="E16"/>
  <c r="E27"/>
  <c r="F7" i="101"/>
  <c r="H7" s="1"/>
  <c r="J7" s="1"/>
  <c r="L7" s="1"/>
  <c r="H36" i="102"/>
  <c r="D36"/>
  <c r="H7"/>
  <c r="E33" i="101" l="1"/>
  <c r="M18"/>
  <c r="E9"/>
  <c r="E30"/>
  <c r="E18"/>
  <c r="E37"/>
  <c r="K35"/>
  <c r="G29"/>
  <c r="E25"/>
  <c r="M22"/>
  <c r="E13"/>
  <c r="E34"/>
  <c r="E26"/>
  <c r="M19"/>
  <c r="M11"/>
  <c r="E31"/>
  <c r="M28"/>
  <c r="K25"/>
  <c r="E19"/>
  <c r="E11"/>
  <c r="K38"/>
  <c r="E32"/>
  <c r="M29"/>
  <c r="G24"/>
  <c r="E20"/>
  <c r="K18"/>
  <c r="I15"/>
  <c r="E12"/>
  <c r="M9"/>
  <c r="M38"/>
  <c r="E29"/>
  <c r="M26"/>
  <c r="K23"/>
  <c r="E17"/>
  <c r="M14"/>
  <c r="E38"/>
  <c r="G30"/>
  <c r="G26"/>
  <c r="M23"/>
  <c r="E14"/>
  <c r="M32"/>
  <c r="E23"/>
  <c r="M20"/>
  <c r="G15"/>
  <c r="M12"/>
  <c r="E24"/>
  <c r="M21"/>
  <c r="E16"/>
  <c r="M13"/>
  <c r="AT18" i="27"/>
  <c r="AT19"/>
  <c r="I36" i="101"/>
  <c r="K27"/>
  <c r="I24"/>
  <c r="K15"/>
  <c r="I33"/>
  <c r="M27"/>
  <c r="I21"/>
  <c r="M15"/>
  <c r="E35"/>
  <c r="I30"/>
  <c r="G23"/>
  <c r="K21"/>
  <c r="I18"/>
  <c r="E15"/>
  <c r="I10"/>
  <c r="E36"/>
  <c r="I31"/>
  <c r="G28"/>
  <c r="M25"/>
  <c r="G16"/>
  <c r="I11"/>
  <c r="G8"/>
  <c r="AT58" i="27"/>
  <c r="T58"/>
  <c r="AT51"/>
  <c r="AT46"/>
  <c r="T43"/>
  <c r="AT38"/>
  <c r="T17"/>
  <c r="AT45"/>
  <c r="T42"/>
  <c r="AT37"/>
  <c r="T34"/>
  <c r="AT29"/>
  <c r="T26"/>
  <c r="AT21"/>
  <c r="AT7"/>
  <c r="F126" i="26"/>
  <c r="AT13" i="27"/>
  <c r="T8"/>
  <c r="F180" i="26"/>
  <c r="F36"/>
  <c r="AT8" i="27"/>
  <c r="I35" i="15"/>
  <c r="F25" i="9"/>
  <c r="T19" i="27"/>
  <c r="T18"/>
  <c r="I28" i="101"/>
  <c r="K19"/>
  <c r="I16"/>
  <c r="I25"/>
  <c r="K16"/>
  <c r="I13"/>
  <c r="K8"/>
  <c r="M36"/>
  <c r="G31"/>
  <c r="E27"/>
  <c r="M16"/>
  <c r="G11"/>
  <c r="M8"/>
  <c r="M37"/>
  <c r="G32"/>
  <c r="E28"/>
  <c r="K26"/>
  <c r="I23"/>
  <c r="M17"/>
  <c r="E8"/>
  <c r="T56" i="27"/>
  <c r="T54"/>
  <c r="T51"/>
  <c r="AT44"/>
  <c r="T41"/>
  <c r="AT36"/>
  <c r="T33"/>
  <c r="AT28"/>
  <c r="T25"/>
  <c r="AT20"/>
  <c r="T53"/>
  <c r="T49"/>
  <c r="T48"/>
  <c r="AT43"/>
  <c r="T40"/>
  <c r="AT35"/>
  <c r="T32"/>
  <c r="AT27"/>
  <c r="T24"/>
  <c r="T14"/>
  <c r="T13"/>
  <c r="AT9"/>
  <c r="F252" i="26"/>
  <c r="T15" i="27"/>
  <c r="F234" i="26"/>
  <c r="F90"/>
  <c r="H35" i="15"/>
  <c r="E25" i="9"/>
  <c r="E27" i="29"/>
  <c r="F27" i="28"/>
  <c r="G27"/>
  <c r="F14"/>
  <c r="E14" i="29"/>
  <c r="G14" i="28"/>
  <c r="AT57" i="27"/>
  <c r="T52"/>
  <c r="T55"/>
  <c r="AT52"/>
  <c r="AT49"/>
  <c r="T47"/>
  <c r="AT42"/>
  <c r="T39"/>
  <c r="T57"/>
  <c r="T46"/>
  <c r="AT41"/>
  <c r="T10"/>
  <c r="T9"/>
  <c r="F288" i="26"/>
  <c r="T16" i="27"/>
  <c r="F108" i="26"/>
  <c r="T11" i="27"/>
  <c r="AT55"/>
  <c r="AT40"/>
  <c r="T37"/>
  <c r="AT50"/>
  <c r="AT47"/>
  <c r="T44"/>
  <c r="AT39"/>
  <c r="AT11"/>
  <c r="AT10"/>
  <c r="T12"/>
  <c r="AT12"/>
  <c r="T7"/>
  <c r="F162" i="26"/>
  <c r="F18"/>
  <c r="H54" i="15"/>
  <c r="E13" i="9"/>
</calcChain>
</file>

<file path=xl/comments1.xml><?xml version="1.0" encoding="utf-8"?>
<comments xmlns="http://schemas.openxmlformats.org/spreadsheetml/2006/main">
  <authors>
    <author>silvia</author>
  </authors>
  <commentList>
    <comment ref="E15" authorId="0">
      <text>
        <r>
          <rPr>
            <sz val="8"/>
            <color indexed="81"/>
            <rFont val="Tahoma"/>
            <family val="2"/>
          </rPr>
          <t>Los datos relativos a estas plazas son una estimación y no debe ser tomados como cifra de plazas autorizadas</t>
        </r>
      </text>
    </comment>
  </commentList>
</comments>
</file>

<file path=xl/comments2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<sst xmlns="http://schemas.openxmlformats.org/spreadsheetml/2006/main" count="3768" uniqueCount="496">
  <si>
    <t>TURISMO EN CIFRAS ADEJE</t>
  </si>
  <si>
    <t xml:space="preserve">Turismo alojado </t>
  </si>
  <si>
    <t xml:space="preserve">Pernoctaciones </t>
  </si>
  <si>
    <t>Índice de ocupación</t>
  </si>
  <si>
    <t xml:space="preserve">Estancias medias </t>
  </si>
  <si>
    <t>Municipios turísticos</t>
  </si>
  <si>
    <t>Plazas alojativas estimadas</t>
  </si>
  <si>
    <t>Plazas alojativas autorizadas</t>
  </si>
  <si>
    <t xml:space="preserve">Turismo de Tenerife </t>
  </si>
  <si>
    <t>Turismo alojado en establecimientos hoteleros y extrahoteleros</t>
  </si>
  <si>
    <t>Tablas</t>
  </si>
  <si>
    <t>Tipología de establecimiento</t>
  </si>
  <si>
    <t>Zonas turísticas y tipología de establecimiento</t>
  </si>
  <si>
    <t>Tipología y categoría de los establecimientos</t>
  </si>
  <si>
    <t>Nacionalidades</t>
  </si>
  <si>
    <t>Evolución anual y mensual de alojados</t>
  </si>
  <si>
    <t>Temporada</t>
  </si>
  <si>
    <t>Gráficas</t>
  </si>
  <si>
    <t>Evolución mensual de turistas alojados</t>
  </si>
  <si>
    <t>Series anuales</t>
  </si>
  <si>
    <t>Evolución anual del turismo alojados</t>
  </si>
  <si>
    <t>Variación interanual</t>
  </si>
  <si>
    <t>Evolución anual del turismo alojado</t>
  </si>
  <si>
    <t>Turistas alojados por tipología de establecimiento</t>
  </si>
  <si>
    <t xml:space="preserve">Evolución mensual </t>
  </si>
  <si>
    <t>TURISMO ALOJADO EN ADEJE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</si>
  <si>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</si>
  <si>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</si>
  <si>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</si>
  <si>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</si>
  <si>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</si>
  <si>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</si>
  <si>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</si>
  <si>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ADEJE POR TIPOLOGÍA DE ESTABLECIMIENTO</t>
  </si>
  <si>
    <t>Hotelero</t>
  </si>
  <si>
    <t xml:space="preserve"> Extrahoteleros</t>
  </si>
  <si>
    <t xml:space="preserve"> TOTAL GENERAL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</si>
  <si>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</si>
  <si>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</si>
  <si>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</si>
  <si>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</si>
  <si>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</si>
  <si>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</si>
  <si>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</si>
  <si>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</si>
  <si>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</si>
  <si>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</si>
  <si>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</si>
  <si>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</si>
  <si>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</si>
  <si>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
ELABORACIÓN: Turismo de Tenerife.</t>
  </si>
  <si>
    <t>Tabla</t>
  </si>
  <si>
    <t>TURISTAS  ALOJADOS EN ADEJE POR TIPOLOGÍA DE ESTABLECIMIENTO
VARIACIONES INTERANUALES</t>
  </si>
  <si>
    <t xml:space="preserve">Hotelero </t>
  </si>
  <si>
    <t>acumulado julio 2010</t>
  </si>
  <si>
    <t>TURISTAS ALOJADOS EN ADEJE SEGÚN TIPOLOGÍA DEL ESTABLECIMIENTO</t>
  </si>
  <si>
    <t xml:space="preserve"> HOTELERO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</si>
  <si>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</si>
  <si>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</si>
  <si>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</si>
  <si>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</si>
  <si>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</si>
  <si>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</si>
  <si>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</si>
  <si>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</si>
  <si>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</si>
  <si>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</si>
  <si>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</si>
  <si>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</si>
  <si>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</si>
  <si>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</si>
  <si>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ADEJE EN LA TEMPORADA DE INVIERNO</t>
  </si>
  <si>
    <t>Inv. 06/07</t>
  </si>
  <si>
    <t>Inv. 07/08</t>
  </si>
  <si>
    <t>Inv. 08/09</t>
  </si>
  <si>
    <t>Inv. 09/10</t>
  </si>
  <si>
    <t>Temporada invierno</t>
  </si>
  <si>
    <t>FUENTE: STDE Cabildo Insular de Tenerife.  ELABORACIÓN: Turismo de Tenerife.</t>
  </si>
  <si>
    <t>EVOLUCIÓN MENSUAL DE TURISTAS  ALOJADOS EN ADEJE EN LA TEMPORADA DE VERANO</t>
  </si>
  <si>
    <t>Temporada Verano</t>
  </si>
  <si>
    <t>Zonas turisticas y tipología de establecimiento</t>
  </si>
  <si>
    <t>Alojados por zonas y tipología de establecimiento</t>
  </si>
  <si>
    <t>Evolución mensual por zonas</t>
  </si>
  <si>
    <t>Evolución mensual por zonas y  tipología</t>
  </si>
  <si>
    <t>Distribución por zona y tipología</t>
  </si>
  <si>
    <t>TURISMO ALOJADO POR ZONAS TURÍSTICAS Y TIPOLOGÍA DE ESTABLECIMIENTO</t>
  </si>
  <si>
    <t>ZONAS</t>
  </si>
  <si>
    <t>TOTAL TENERIFE</t>
  </si>
  <si>
    <t>ZONA SUR</t>
  </si>
  <si>
    <t>ADEJE</t>
  </si>
  <si>
    <t xml:space="preserve">FUENTE: STDE Cabildo Insular de Tenerife. ELABORACIÓN: Turismo de Tenerife </t>
  </si>
  <si>
    <t xml:space="preserve">TURISTAS ALOJADOS EN TENERIFE POR ZONAS Y TIPOLOGÍA </t>
  </si>
  <si>
    <t>Zona Sur</t>
  </si>
  <si>
    <t>TOTAL</t>
  </si>
  <si>
    <t xml:space="preserve">Hotel </t>
  </si>
  <si>
    <t>Extrahotelero</t>
  </si>
  <si>
    <t xml:space="preserve"> Hotel</t>
  </si>
  <si>
    <t xml:space="preserve">VARIACIONES INTERANUALES DE LOS TURISTAS ALOJADOS EN TENERIFE POR ZONAS Y TIPOLOGÍA </t>
  </si>
  <si>
    <t>TURISTAS  ALOJADOS EN ADEJE</t>
  </si>
  <si>
    <t>Var. 08/07</t>
  </si>
  <si>
    <t>Var. 09/08</t>
  </si>
  <si>
    <t>Var. 10/09</t>
  </si>
  <si>
    <t>Total general</t>
  </si>
  <si>
    <t>TURISTAS  ALOJADOS EN LA ZONA SUR</t>
  </si>
  <si>
    <t>TURISTAS  ALOJADOS EN TENERIFE</t>
  </si>
  <si>
    <t>2009/2008</t>
  </si>
  <si>
    <t>2010/2009</t>
  </si>
  <si>
    <t>Total</t>
  </si>
  <si>
    <t>var. interanual hotelero</t>
  </si>
  <si>
    <t>Var. inter. extrahotelero</t>
  </si>
  <si>
    <t>Var. inter. total</t>
  </si>
  <si>
    <t>Tipología y categoía de establecimiento</t>
  </si>
  <si>
    <t xml:space="preserve">Distribución por categoría </t>
  </si>
  <si>
    <t xml:space="preserve">EVOLUCIÓN DEL TURISMO  ALOJADO EN ADEJE POR CATEGORÍA </t>
  </si>
  <si>
    <t xml:space="preserve"> 1 * y 2 *</t>
  </si>
  <si>
    <t xml:space="preserve"> 3 *</t>
  </si>
  <si>
    <t xml:space="preserve"> 4 *</t>
  </si>
  <si>
    <t xml:space="preserve"> 5 *</t>
  </si>
  <si>
    <t>Extrahoteleros</t>
  </si>
  <si>
    <t>Gráfica 1</t>
  </si>
  <si>
    <t>Gráfica 2</t>
  </si>
  <si>
    <t xml:space="preserve">VARIACIÓN INTERANUAL DEL TURISMO ALOJADO EN TENERIFE POR CATEGORÍA 
VARIACIONES INTERANUALES </t>
  </si>
  <si>
    <t xml:space="preserve"> TOTAL HOTELERO</t>
  </si>
  <si>
    <t xml:space="preserve">TURISTAS ALOJADOS EN ADEJE POR CATEGORÍA </t>
  </si>
  <si>
    <t>MES</t>
  </si>
  <si>
    <t xml:space="preserve"> 1* y 2 *</t>
  </si>
  <si>
    <t>Nacionalidad</t>
  </si>
  <si>
    <t>Alojados por nacionalidad</t>
  </si>
  <si>
    <t>Cuota sobre el total de alojados</t>
  </si>
  <si>
    <t>Distribución por nacionalidades</t>
  </si>
  <si>
    <t>Turistas alojados por nacionalidad</t>
  </si>
  <si>
    <t>Evolución mensual por nacionalidades</t>
  </si>
  <si>
    <t>Evolución mensual de cada emisor</t>
  </si>
  <si>
    <t>Distribución por nacionalidad</t>
  </si>
  <si>
    <t>Distribución por nacionalidad y categoría hotelera</t>
  </si>
  <si>
    <t>Alojados por categoría y tipología de establecimiento</t>
  </si>
  <si>
    <t>Distribución por nacionalidad según categoría y tipología de establecimiento</t>
  </si>
  <si>
    <t>EVOLUCIÓN MENSUAL DEL TURISMO ALOJADO EN ADEJE</t>
  </si>
  <si>
    <t>EVOLUCIÓN MENSUAL DE LOS TURISTAS ALOJADOS EN ADEJE
TOTAL TURISTAS</t>
  </si>
  <si>
    <t>var. 09/08</t>
  </si>
  <si>
    <t>var. 10/09</t>
  </si>
  <si>
    <t>FUENTE: STDE del Cabildo Insular de Tenerife. 
ELABORACIÓN: Turismo de Tenerife</t>
  </si>
  <si>
    <t>EVOLUCIÓN MENSUAL DE LOS TURISTAS ALOJADOS EN ADEJE
REINO UNIDO</t>
  </si>
  <si>
    <t>EVOLUCIÓN MENSUAL DE LOS TURISTAS ALOJADOS EN ADEJE
ESPAÑA</t>
  </si>
  <si>
    <t>EVOLUCIÓN MENSUAL DE LOS TURISTAS ALOJADOS EN ADEJE
ALEMANIA</t>
  </si>
  <si>
    <t>EVOLUCIÓN MENSUAL DE LOS TURISTAS ALOJADOS EN ADEJE
DINAMARCA</t>
  </si>
  <si>
    <t>EVOLUCIÓN MENSUAL DE LOS TURISTAS ALOJADOS EN ADEJE
FINLANDIA</t>
  </si>
  <si>
    <t>EVOLUCIÓN MENSUAL DE LOS TURISTAS ALOJADOS EN ADEJE
NORUEGA</t>
  </si>
  <si>
    <t>EVOLUCIÓN MENSUAL DE LOS TURISTAS ALOJADOS EN ADEJE
SUECIA</t>
  </si>
  <si>
    <t>EVOLUCIÓN MENSUAL DE LOS TURISTAS ALOJADOS EN ADEJE
FRANCIA</t>
  </si>
  <si>
    <t>EVOLUCIÓN MENSUAL DE LOS TURISTAS ALOJADOS EN ADEJE
HOLANDA</t>
  </si>
  <si>
    <t>EVOLUCIÓN MENSUAL DE LOS TURISTAS ALOJADOS EN ADEJE
BÉLGICA</t>
  </si>
  <si>
    <t>EVOLUCIÓN MENSUAL DE LOS TURISTAS ALOJADOS EN ADEJE
ITALIA</t>
  </si>
  <si>
    <t>EVOLUCIÓN MENSUAL DE LOS TURISTAS ALOJADOS EN ADEJE
RUSIA</t>
  </si>
  <si>
    <t>EVOLUCIÓN MENSUAL DE LOS TURISTAS ALOJADOS EN ADEJE
OTROS PAISES DEL ESTE</t>
  </si>
  <si>
    <t>EVOLUCIÓN MENSUAL DE LOS TURISTAS ALOJADOS EN ADEJE
IRLANDA</t>
  </si>
  <si>
    <t>EVOLUCIÓN MENSUAL DE LOS TURISTAS ALOJADOS EN ADEJE
SUIZA</t>
  </si>
  <si>
    <t xml:space="preserve">EVOLUCIÓN MENSUAL DE TURISTAS ALOJADOS EN ADEJE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</si>
  <si>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</si>
  <si>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</si>
  <si>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</si>
  <si>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</si>
  <si>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</si>
  <si>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</si>
  <si>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</si>
  <si>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</si>
  <si>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</si>
  <si>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</si>
  <si>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</si>
  <si>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</si>
  <si>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</si>
  <si>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</si>
  <si>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</si>
  <si>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</si>
  <si>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</si>
  <si>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</si>
  <si>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</si>
  <si>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</si>
  <si>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</si>
  <si>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</si>
  <si>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</si>
  <si>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</si>
  <si>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ADEJE SEGÚN NACIONALIDAD</t>
  </si>
  <si>
    <t>cuota I semestre 2010</t>
  </si>
  <si>
    <t>FUENTE: STDE Cabildo Insular de Tenerife.
ELABORACIÓN: Turismo de Tenerife</t>
  </si>
  <si>
    <t>DISTRIBUCIÓN DEL TURISMO ALOJADO EN ESTABLECIMIENTOS TURÍSTICOS DE ADEJE SEGÚN NACIONALIDAD</t>
  </si>
  <si>
    <t xml:space="preserve">FUENTE: STDE Cabildo Insular de Tenerife.
ELABORACIÓN: Turismo de Tenerife </t>
  </si>
  <si>
    <t>TURISTAS ALOJADOS EN ADEJE POR NACIONALIDADES SEGÚN TIPOLOGÍA Y CATEGORÍA DEL ESTABLECIMIENTO</t>
  </si>
  <si>
    <t>ESTABLECIMIENTOS HOTELEROS</t>
  </si>
  <si>
    <t>TOTAL EXTRAHOTELERO</t>
  </si>
  <si>
    <t>TOTAL HOTELERO</t>
  </si>
  <si>
    <t>Hoteles 5 *</t>
  </si>
  <si>
    <t>Hoteles 4 *</t>
  </si>
  <si>
    <t>Hoteles 3 *</t>
  </si>
  <si>
    <t xml:space="preserve">Hoteles 1* y 2 * </t>
  </si>
  <si>
    <t>EVOLUCIÓN DEL NÚMERO DE TURISTAS ALOJADOS EN ADEJE POR NACIONALIDADES SEGÚN TIPOLOGÍA Y CATEGORÍA DEL ESTABLECIMIENTO</t>
  </si>
  <si>
    <t xml:space="preserve">DISTRIBUCIÓN DE TURISTAS ALOJADOS EN ADEJE POR TIPOLOGÍA Y CATEGORÍA DEL ESTABLECIMIENTO SEGÚN NACIONALIDADES </t>
  </si>
  <si>
    <t>DISTRIBUCIÓN DE TURISTAS ALOJADOS EN ADEJE POR NACIONALIDADES SEGÚN TIPOLOGÍA Y CATEGORÍA</t>
  </si>
  <si>
    <t xml:space="preserve">CUOTA POR NACIONALIDAD DE TURISTAS ALOJADOS EN ESTABLECIMIENTOS TURÍSTICOS DE ADEJE SOBRE TOTAL DE ALOJADOS </t>
  </si>
  <si>
    <t xml:space="preserve">EVOLUCIÓN MENSUAL DE TURISTAS  ALOJADOS EN ADEJE </t>
  </si>
  <si>
    <t>alojados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</si>
  <si>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</si>
  <si>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</si>
  <si>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</si>
  <si>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</si>
  <si>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</si>
  <si>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</si>
  <si>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</si>
  <si>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</si>
  <si>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</si>
  <si>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</si>
  <si>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</si>
  <si>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</si>
  <si>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</si>
  <si>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</si>
  <si>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</si>
  <si>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-</t>
  </si>
  <si>
    <t>FUENTE: STDE Cabildo Insular de Tenerife. 
ELABORACIÓN: Turismo de Tenerife</t>
  </si>
  <si>
    <t>Pernoctaciones</t>
  </si>
  <si>
    <t>Evolución anual y mensual de Pernoctaciones</t>
  </si>
  <si>
    <t>Evolución anual por zona turística y tipología de establecimiento</t>
  </si>
  <si>
    <t>Variación interanual por zona turística y tipología de establecimiento</t>
  </si>
  <si>
    <t>Evolución anual por tipología y categoría de los establecimientos</t>
  </si>
  <si>
    <t>Variación interanual por  tipología y categoría de establecimiento</t>
  </si>
  <si>
    <t>Zona turística y tipología de establecimiento</t>
  </si>
  <si>
    <t>Tipología de los establecimientos y zona turística</t>
  </si>
  <si>
    <t>Zona turística y tipología alojativa</t>
  </si>
  <si>
    <t>Tipología y categoría alojativa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</si>
  <si>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</si>
  <si>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</si>
  <si>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ADEJE POR CATEGORÍA </t>
  </si>
  <si>
    <t xml:space="preserve">VARIACIÓN INTERANUAL DE PERNOCTACIONES POR TURISTAS EN ADEJE EN TENERIFE POR CATEGORÍA </t>
  </si>
  <si>
    <t>PERNOCTACIONES POR LOS TURISTAS EN ADEJE SEGÚN TIPOLOGÍA DE ESTABLECIMIENTO</t>
  </si>
  <si>
    <t>PERNOCTACIONES</t>
  </si>
  <si>
    <t>Pernoctaciones Totales</t>
  </si>
  <si>
    <t>Pernoctaciones Hoteleras</t>
  </si>
  <si>
    <t>Pernoctaciones Extrahoteleras</t>
  </si>
  <si>
    <t>PERNOCTACIONES EN ADEJE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</si>
  <si>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</si>
  <si>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</si>
  <si>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</si>
  <si>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</si>
  <si>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</si>
  <si>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</si>
  <si>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</si>
  <si>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</si>
  <si>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</si>
  <si>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</si>
  <si>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</si>
  <si>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>EVOLUCIÓN  DE PERNOCTACIONES EN ADEJE</t>
  </si>
  <si>
    <t>pernoctaciones</t>
  </si>
  <si>
    <t>Evolución anual y mensual de los índices de ocupación</t>
  </si>
  <si>
    <t>Variación interanual por tipología y categoría de los establecimientos</t>
  </si>
  <si>
    <t>Evolución mensual de los índices de ocupación</t>
  </si>
  <si>
    <t>Turismo de Tenerife</t>
  </si>
  <si>
    <t>INDICE DE OCUPACIÓN SEGÚN ZONAS Y TIPOLOGÍA  (%)</t>
  </si>
  <si>
    <t>VARIACIÓN INTERANUAL DE INDICE DE OCUPACIÓN SEGÚN ZONAS Y TIPOLOGÍA  (%)</t>
  </si>
  <si>
    <t>INDICE DE OCUPACIÓN EN LOS ESTABLECIMIENTOS ALOJATIVOS DE ADEJE POR CATEGORÍA (%)</t>
  </si>
  <si>
    <t>1* y  2 *</t>
  </si>
  <si>
    <t>VARIACIÓN INTERANUAL DE INDICE DE OCUPACIÓN EN LOS ESTABLECIMIENTOS ALOJATIVOS DE ADEJE POR CATEGORÍA (%)</t>
  </si>
  <si>
    <t>1 * y  2 *</t>
  </si>
  <si>
    <t>ÍNDICES DE OCUPACIÓN EN LOS ESTABLECIMIENTOS ALOJATIVOS DE ADEJE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</si>
  <si>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</si>
  <si>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</si>
  <si>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</si>
  <si>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</si>
  <si>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</si>
  <si>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</si>
  <si>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TENERIFE</t>
  </si>
  <si>
    <t>SUR</t>
  </si>
  <si>
    <t>ÍNDICES DE OCUPACIÓN EN LOS ESTABLECIMIENTOS ALOJATIVOS DE ADEJE SEGÚN TIPOLOGÍA Y CATEGORÍA DE ESTABLECIMIENTO (%)</t>
  </si>
  <si>
    <t>EVOLUCIÓN  DE INDICES DE OCUPACIÓN EN ESTABLECIMIENTOS ALOJATIVOS DE ADEJE</t>
  </si>
  <si>
    <t>Indices de ocupación</t>
  </si>
  <si>
    <t>Estancia media</t>
  </si>
  <si>
    <t>Evolución anual y mensual de las estancias medias</t>
  </si>
  <si>
    <t>Evolución mensual de las estancias medias</t>
  </si>
  <si>
    <t xml:space="preserve">ESTANCIA MEDIA SEGÚN ZONAS Y TIPOLOGÍA </t>
  </si>
  <si>
    <t xml:space="preserve">ESTANCIA MEDIA DE LOS TURISTAS ALOJADOS EN ADEJE POR CATEGORÍA </t>
  </si>
  <si>
    <t xml:space="preserve">DIFERENCIA INTERANUAL DE LA ESTANCIA MEDIA DE LOS TURISTAS ALOJADOS EN ADEJE POR CATEGORÍA </t>
  </si>
  <si>
    <t>ESTANCIAS MEDIAS DE LOS TURISTAS ALOJADOS EN ADEJE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</si>
  <si>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</si>
  <si>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</si>
  <si>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</si>
  <si>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</si>
  <si>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</si>
  <si>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FUENTE: STDE Cabildo Insular de Tenerife.  ELABORACIÓN: Turismo de Tenerife</t>
  </si>
  <si>
    <t>ESTANCIAS MEDIAS DE LOS TURISTAS ALOJADOS EN ADEJE SEGÚN TIPOLOGÍA Y CATEGORÍA DE ESTABLECIMIENTO</t>
  </si>
  <si>
    <t>FUENTE: STDE Cabildo Insular de Tenerife. ELABORACIÓN:Turismo de Tenerife</t>
  </si>
  <si>
    <t>EVOLUCIÓN  DE LA ESTANCIA MEDIA  DE LOS TURISTAS ALOJADOS EN ADEJE</t>
  </si>
  <si>
    <t>Municipios turísticos (comparativa)</t>
  </si>
  <si>
    <t>Alojados por municipio y tipología</t>
  </si>
  <si>
    <t>Alojados por municipio y categoría</t>
  </si>
  <si>
    <t>Pernoctaciones por municipio y tipología</t>
  </si>
  <si>
    <t>Pernoctaciones por municipio y categoría</t>
  </si>
  <si>
    <t>Indices de ocupación por municipio y tipología</t>
  </si>
  <si>
    <t>Indices de ocupación por municipio y categoría</t>
  </si>
  <si>
    <t>Estancia media por municipio y tipología</t>
  </si>
  <si>
    <t>Estancia media por municipio y categoría</t>
  </si>
  <si>
    <t>Alojados por nacionalidad y municipio</t>
  </si>
  <si>
    <t>Evolución de turistas alojados por nacionalidad y municipio</t>
  </si>
  <si>
    <t>Distribución por nacionalidad según municipio</t>
  </si>
  <si>
    <t>ALOJADOS POR MUNICIPIO TURÍSTICO Y TIPOLOGÍA DE ESTABLECIMIENTO</t>
  </si>
  <si>
    <t>Alojados Totales</t>
  </si>
  <si>
    <t>Alojados Hoteleros</t>
  </si>
  <si>
    <t>Alojados Extrahoteleros</t>
  </si>
  <si>
    <t>ARONA</t>
  </si>
  <si>
    <t>PUERTO DE LA CRUZ</t>
  </si>
  <si>
    <t>SANTA CRUZ</t>
  </si>
  <si>
    <t>TURISMO ALOJADO EN ADEJE SEGÚN TIPOLOGÍA Y CATEGORÍA DE ESTABLECIMIENTO</t>
  </si>
  <si>
    <t>TURISMO ALOJADO EN ARONA SEGÚN TIPOLOGÍA Y CATEGORÍA DE ESTABLECIMIENTO</t>
  </si>
  <si>
    <t>TURISMO ALOJADO EN PUERTO DE LA CRUZ SEGÚN TIPOLOGÍA Y CATEGORÍA DE ESTABLECIMIENTO</t>
  </si>
  <si>
    <t>TURISMO ALOJADO EN SANTA CRUZ SEGÚN TIPOLOGÍA Y CATEGORÍA DE ESTABLECIMIENTO</t>
  </si>
  <si>
    <t>4* y 5*</t>
  </si>
  <si>
    <t>2*</t>
  </si>
  <si>
    <t>1*</t>
  </si>
  <si>
    <t>PERNOCTACIONES POR MUNICIPIO TURÍSTICO Y TIPOLOGÍA DE ESTABLECIMIENTO</t>
  </si>
  <si>
    <t>PERNOCTACIONES EN ARONA SEGÚN TIPOLOGÍA Y CATEGORÍA DE ESTABLECIMIENTO</t>
  </si>
  <si>
    <t>Total Pernoctaciones</t>
  </si>
  <si>
    <t>PERNOCTACIONES EN PUERTO DE LA CRUZ SEGÚN TIPOLOGÍA Y CATEGORÍA DE ESTABLECIMIENTO</t>
  </si>
  <si>
    <t>PERNOCTACIONES EN SANTA CRUZ SEGÚN TIPOLOGÍA Y CATEGORÍA DE ESTABLECIMIENTO</t>
  </si>
  <si>
    <t>ÍNDICES DE OCUPACIÓN POR MUNICIPIO TURÍSTICO Y TIPOLOGÍA DE ESTABLECIMIENTO (%)</t>
  </si>
  <si>
    <t>INDICES DE OCUPACIÓN EN ALOJAMIENTO DE ADEJE SEGÚN TIPOLOGÍA Y CATEGORÍA DE ESTABLECIMIENTO</t>
  </si>
  <si>
    <t>INDICES DE OCUPACIÓN EN ALOJAMIENTO DE ARONA SEGÚN TIPOLOGÍA Y CATEGORÍA DE ESTABLECIMIENTO</t>
  </si>
  <si>
    <t>Indice de ocupación total</t>
  </si>
  <si>
    <t>INDICES DE OCUPACIÓN EN ALOJAMIENTO DE PUERTO DE LA CRUZ SEGÚN TIPOLOGÍA Y CATEGORÍA DE ESTABLECIMIENTO</t>
  </si>
  <si>
    <t>INDICES DE OCUPACIÓN EN ALOJAMIENTO DE SANTA CRUZ SEGÚN TIPOLOGÍA Y CATEGORÍA DE ESTABLECIMIENTO</t>
  </si>
  <si>
    <t>ESTANCIAS MEDIAS POR MUNICIPIO TURÍSTICO Y TIPOLOGÍA DE ESTABLECIMIENTO</t>
  </si>
  <si>
    <t>ZONA 1: S/C de Tenerife. ZONA 2: La Laguna, Bajamar, Punta del Hidalgo, Tacoronte
ZONA 3: Puerto de La Cruz y Resto del Norte. ZONA 4:  Sur
FUENTE: STDE Cabildo Insular de Tenerife.  ELABORACIÓN: Turismo de Tenerife</t>
  </si>
  <si>
    <t>ESTANCIA MEDIA DE LOS TURISTAS ALOJADOS EN ADEJE SEGÚN TIPOLOGÍA Y CATEGORÍA DE ESTABLECIMIENTO</t>
  </si>
  <si>
    <t>ESTANCIA MEDIA DE LOS TURISTAS ALOJADOS EN  ARONA SEGÚN TIPOLOGÍA Y CATEGORÍA DE ESTABLECIMIENTO</t>
  </si>
  <si>
    <t>Estancia media total</t>
  </si>
  <si>
    <t>ESTANCIA MEDIA DE LOS TURISTAS ALOJADOS EN  PUERTO DE LA CRUZ SEGÚN TIPOLOGÍA Y CATEGORÍA DE ESTABLECIMIENTO</t>
  </si>
  <si>
    <t>ESTANCIA MEDIA DE LOS TURISTAS ALOJADOS EN  SANTA CRUZ SEGÚN TIPOLOGÍA Y CATEGORÍA DE ESTABLECIMIENTO</t>
  </si>
  <si>
    <t>TURISTAS ALOJADOS POR NACIONALIDADES SEGÚN MUNICIPIO TURÍSTICO</t>
  </si>
  <si>
    <t xml:space="preserve">ADEJE </t>
  </si>
  <si>
    <t>Total turismo extranjero</t>
  </si>
  <si>
    <t>EVOLUCIÓN DEL NÚMERO TURISTAS ALOJADOS POR NACIONALIDADES SEGÚN MUNICIPIO TURÍSTICO</t>
  </si>
  <si>
    <t>DISTRIBUCIÓN DE TURISTAS ALOJADOS POR NACIONALIDADES SEGÚN ZONAS TURÍSTICAS</t>
  </si>
  <si>
    <t xml:space="preserve">FUENTE: STDE Cabildo Insular de Tenerife. 
ELABORACIÓN: Turismo de Tenerife </t>
  </si>
  <si>
    <t>Oferta alojativa estimada</t>
  </si>
  <si>
    <t>Tipología y categoría de establecimiento</t>
  </si>
  <si>
    <t>PLAZAS ALOJATIVAS ESTIMADAS SEGÚN ZONAS TURÍSTICAS Y TIPOLOGÍAS (*)</t>
  </si>
  <si>
    <t>%/s total zona</t>
  </si>
  <si>
    <t>TOTAL ZONAS</t>
  </si>
  <si>
    <t>Total plazas</t>
  </si>
  <si>
    <t>Hoteleras</t>
  </si>
  <si>
    <t>Extrahoteleras</t>
  </si>
  <si>
    <t>ZONA 1</t>
  </si>
  <si>
    <t>ZONA 2</t>
  </si>
  <si>
    <t>ZONA 3</t>
  </si>
  <si>
    <t>ZONA 4</t>
  </si>
  <si>
    <t>*Los Datos relativos a plazas son una estimación y no debe ser tomada como cifra de plazas autorizadas.
ZONA 1: S/C de Tenerife. ZONA 2: La Laguna, Bajamar, Punta del Hidalgo, Tacoronte
ZONA 3: Puerto de La Cruz y Resto del Norte. ZONA 4: Sur
FUENTE: STDE Cabildo Insular de Tenerife. ELABORACIÓN: Turismo de Tenerife</t>
  </si>
  <si>
    <t>PLAZAS ALOJATIVAS ESTIMADAS EN ADEJE SEGÚN TIPOLOGÍA Y CATEGORÍA (*)</t>
  </si>
  <si>
    <t>PLAZAS ALOJATIVAS ESTIMADAS  EN ADEJE SEGÚN TIPOLOGÍA Y CATEGORÍA (*)</t>
  </si>
  <si>
    <t>TOTAL PLAZAS</t>
  </si>
  <si>
    <t>HOTELERAS</t>
  </si>
  <si>
    <t>5 estrellas</t>
  </si>
  <si>
    <t>4 estrellas</t>
  </si>
  <si>
    <t>3 estrellas</t>
  </si>
  <si>
    <t>1 Y 2 estrellas</t>
  </si>
  <si>
    <t>EXTRAHOTELERAS</t>
  </si>
  <si>
    <t>*Los Datos relativos a plazas son una estimación y no debe ser tomada como cifra de plazas autorizadas.
FUENTE: STDE Cabildo Insular de Tenerife. ELABORACIÓN: Turismo de Tenerife</t>
  </si>
  <si>
    <t>PLAZAS ALOJATIVAS ESTIMADAS EN ARONA SEGÚN TIPOLOGÍA Y CATEGORÍA (*)</t>
  </si>
  <si>
    <t>PLAZAS ALOJATIVAS ESTIMADAS  EN ARONA SEGÚN TIPOLOGÍA Y CATEGORÍA (*)</t>
  </si>
  <si>
    <t>PLAZAS ALOJATIVAS ESTIMADAS EN PUERTO DE LA CRUZ SEGÚN TIPOLOGÍA Y CATEGORÍA (*)</t>
  </si>
  <si>
    <t>4 y 5 estrellas</t>
  </si>
  <si>
    <t>PLAZAS ALOJATIVAS ESTIMADAS EN SANTA CRUZ SEGÚN TIPOLOGÍA Y CATEGORÍA (*)</t>
  </si>
  <si>
    <t>2 estrellas</t>
  </si>
  <si>
    <t>1 estrellas</t>
  </si>
  <si>
    <t>Tipología del establecimiento - municipios</t>
  </si>
  <si>
    <t xml:space="preserve">Distribución por tipología de establecimiento - municipios </t>
  </si>
  <si>
    <t>Distribución según tipología y categoría alojativa</t>
  </si>
  <si>
    <t>Distribución según tipología alojativa</t>
  </si>
  <si>
    <t>PLAZAS TURISTICAS AUTORIZADAS* SEGÚN TIPOLOGÍA DEL ESTABLECIMIENTO.
Municipios e Isla</t>
  </si>
  <si>
    <t>julio 2010</t>
  </si>
  <si>
    <t>Municipio</t>
  </si>
  <si>
    <t>HOTELEROS</t>
  </si>
  <si>
    <t>EXTRAHOTELEROS</t>
  </si>
  <si>
    <t>HOTELES RURALES</t>
  </si>
  <si>
    <t>CASAS RURALES</t>
  </si>
  <si>
    <t>ARAFO</t>
  </si>
  <si>
    <t>ARICO</t>
  </si>
  <si>
    <t>BUENAVISTA DEL NORTE</t>
  </si>
  <si>
    <t>CANDELARIA</t>
  </si>
  <si>
    <t>FASNIA</t>
  </si>
  <si>
    <t>GARACHICO</t>
  </si>
  <si>
    <t>GRANADILLA DE ABONA</t>
  </si>
  <si>
    <t>GUANCHA (LA)</t>
  </si>
  <si>
    <t>GUIA DE ISORA</t>
  </si>
  <si>
    <t>GUIMAR</t>
  </si>
  <si>
    <t>ICOD DE LOS VINOS</t>
  </si>
  <si>
    <t>LAGUNA (LA)</t>
  </si>
  <si>
    <t>MATANZA DE ACENTEJO (LA)</t>
  </si>
  <si>
    <t>OROTAVA (LA)</t>
  </si>
  <si>
    <t>REALEJOS (LOS)</t>
  </si>
  <si>
    <t>ROSARIO (EL)</t>
  </si>
  <si>
    <t>SAN JUAN DE LA RAMBLA</t>
  </si>
  <si>
    <t>SAN MIGUEL DE ABONA</t>
  </si>
  <si>
    <t>SANTA CRUZ DE TENERIFE</t>
  </si>
  <si>
    <t>SANTA URSULA</t>
  </si>
  <si>
    <t>SANTIAGO DEL TEIDE</t>
  </si>
  <si>
    <t>SAUZAL (EL)</t>
  </si>
  <si>
    <t>SILOS (LOS)</t>
  </si>
  <si>
    <t>TACORONTE</t>
  </si>
  <si>
    <t>TANQUE (EL)</t>
  </si>
  <si>
    <t>TEGUESTE</t>
  </si>
  <si>
    <t>VICTORIA DE ACENTEJO (LA)</t>
  </si>
  <si>
    <t>VILAFLOR</t>
  </si>
  <si>
    <t>Total Tenerife</t>
  </si>
  <si>
    <t xml:space="preserve">FUENTE: Policía Turística. Cabildo Insular de Tenerife. ELABORACIÓN: Turismo de Tenerife </t>
  </si>
  <si>
    <t>PLAZAS TURÍSTICAS AUTORIZADAS* SEGÚN TIPOLOGÍA  DEL ESTABLECIMIENTO. 
Distribución por Municipios</t>
  </si>
  <si>
    <t>Total Plazas</t>
  </si>
  <si>
    <t>Hoteleros</t>
  </si>
  <si>
    <t>Hoteles Rurales</t>
  </si>
  <si>
    <t>Casas Rurales</t>
  </si>
  <si>
    <t>cuota s/total insular</t>
  </si>
  <si>
    <t>Adeje</t>
  </si>
  <si>
    <t>Arafo</t>
  </si>
  <si>
    <t>Arico</t>
  </si>
  <si>
    <t>Arona</t>
  </si>
  <si>
    <t>Buenavista del Norte</t>
  </si>
  <si>
    <t>Candelaria</t>
  </si>
  <si>
    <t>Fasnia</t>
  </si>
  <si>
    <t>Garachico</t>
  </si>
  <si>
    <t>Granadilla de Abona</t>
  </si>
  <si>
    <t>Guancha (La)</t>
  </si>
  <si>
    <t>Guía de Isora</t>
  </si>
  <si>
    <t>Güímar</t>
  </si>
  <si>
    <t>Icod de los Vinos</t>
  </si>
  <si>
    <t>Laguna (La)</t>
  </si>
  <si>
    <t>Matanza de Acentejo (La)</t>
  </si>
  <si>
    <t>Orotava (La)</t>
  </si>
  <si>
    <t>Puerto de la Cruz</t>
  </si>
  <si>
    <t>Realejos (Los)</t>
  </si>
  <si>
    <t>Rosario (El)</t>
  </si>
  <si>
    <t>San Juan de la Rambla</t>
  </si>
  <si>
    <t>San Miguel de Abona</t>
  </si>
  <si>
    <t>Santa Cruz De Tenerife</t>
  </si>
  <si>
    <t>Santa Ursula</t>
  </si>
  <si>
    <t>Santiago del Teide</t>
  </si>
  <si>
    <t>Sauzal (El)</t>
  </si>
  <si>
    <t>Silos (Los)</t>
  </si>
  <si>
    <t>Tacoronte</t>
  </si>
  <si>
    <t>Tanque (El)</t>
  </si>
  <si>
    <t>Tegueste</t>
  </si>
  <si>
    <t>Victoria de Acentejo (La)</t>
  </si>
  <si>
    <t>Vilaflor</t>
  </si>
  <si>
    <t>Total Isla</t>
  </si>
  <si>
    <t xml:space="preserve">(*) Plazas Autorizadas conforme a Policía Turística.
FUENTE: Policía Turística. Cabildo Insular de Tenerife. ELABORACIÓN: Turismo de Tenerife </t>
  </si>
  <si>
    <t xml:space="preserve"> </t>
  </si>
  <si>
    <t xml:space="preserve">DISTRIBUCIÓN DE LAS PLAZAS TURÍSTICAS AUTORIZADAS EN ADEJE SEGÚN TIPOLOGÍA Y CATEGORÍA </t>
  </si>
  <si>
    <t xml:space="preserve">DISTRIBUCIÓN DE LAS PLAZAS TURÍSTICAS AUTORIZADAS EN ARONA SEGÚN TIPOLOGÍA Y CATEGORÍA </t>
  </si>
  <si>
    <t>1 Estrellas</t>
  </si>
  <si>
    <t>2 Estrellas</t>
  </si>
  <si>
    <t>3 Estrellas</t>
  </si>
  <si>
    <t>4 Estrellas</t>
  </si>
  <si>
    <t>5 Estrellas</t>
  </si>
  <si>
    <t>Sin categoría</t>
  </si>
  <si>
    <t>1 Llave</t>
  </si>
  <si>
    <t>2 Llaves</t>
  </si>
  <si>
    <t>3 Llaves</t>
  </si>
  <si>
    <t>4 Llaves</t>
  </si>
  <si>
    <t>5 Llaves</t>
  </si>
  <si>
    <t>1 Palmera</t>
  </si>
  <si>
    <t>2 Palmeras</t>
  </si>
  <si>
    <t>Conjunto inmueble</t>
  </si>
  <si>
    <t>Compartido con propietarios</t>
  </si>
  <si>
    <t>Exclusivo</t>
  </si>
  <si>
    <t>Compartido con usuarios</t>
  </si>
  <si>
    <t xml:space="preserve">(*) Plazas Autorizadas conforme a Policía Turística 
FUENTE: Policía Turística. Cabildo Insular de Tenerife.
ELABORACIÓN: Turismo de Tenerife </t>
  </si>
  <si>
    <t xml:space="preserve">DISTRIBUCIÓN DE LAS PLAZAS TURÍSTICAS AUTORIZADAS EN PUERTO DE LA CRUZ SEGÚN TIPOLOGÍA Y CATEGORÍA </t>
  </si>
  <si>
    <t xml:space="preserve">DISTRIBUCIÓN DE LAS PLAZAS TURÍSTICAS AUTORIZADAS EN SANTA CRUZ SEGÚN TIPOLOGÍA Y CATEGORÍA </t>
  </si>
  <si>
    <t>Bares</t>
  </si>
  <si>
    <t>Cafeterías</t>
  </si>
  <si>
    <t>Restaurantes</t>
  </si>
  <si>
    <t>Gran Canaria</t>
  </si>
  <si>
    <t>Fuerteventura</t>
  </si>
  <si>
    <t>Lanzarote</t>
  </si>
  <si>
    <t>Tenerife</t>
  </si>
  <si>
    <t>La Palma</t>
  </si>
  <si>
    <t>Canarias</t>
  </si>
  <si>
    <t>TOTAL TURISMO ALOJADO</t>
  </si>
  <si>
    <t>Zona SUR</t>
  </si>
  <si>
    <t>ALOJADOS HOTELEROS</t>
  </si>
  <si>
    <t>ALOJADOS EXTRAHOTELEROS</t>
  </si>
  <si>
    <t xml:space="preserve">acumulado julio 2010 </t>
  </si>
  <si>
    <t>acumulado julio 2009</t>
  </si>
  <si>
    <t>I semestre 2009</t>
  </si>
  <si>
    <t>I semestre 2010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</si>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</sst>
</file>

<file path=xl/styles.xml><?xml version="1.0" encoding="utf-8"?>
<styleSheet xmlns="http://schemas.openxmlformats.org/spreadsheetml/2006/main">
  <numFmts count="12">
    <numFmt numFmtId="164" formatCode="#,##0_)"/>
    <numFmt numFmtId="165" formatCode="0.0%"/>
    <numFmt numFmtId="166" formatCode="#,##0.0"/>
    <numFmt numFmtId="167" formatCode="#,##0.00_)"/>
    <numFmt numFmtId="168" formatCode="_-* #,##0.00\ [$€-1]_-;\-* #,##0.00\ [$€-1]_-;_-* &quot;-&quot;??\ [$€-1]_-"/>
    <numFmt numFmtId="169" formatCode="#,#00"/>
    <numFmt numFmtId="170" formatCode="_-* #,##0\ _p_t_a_-;\-* #,##0\ _p_t_a_-;_-* &quot;-&quot;\ _p_t_a_-;_-@_-"/>
    <numFmt numFmtId="171" formatCode="\$#,#00"/>
    <numFmt numFmtId="172" formatCode="\$#,"/>
    <numFmt numFmtId="173" formatCode="%#,#00"/>
    <numFmt numFmtId="174" formatCode="#.##000"/>
    <numFmt numFmtId="175" formatCode="#.##0,"/>
  </numFmts>
  <fonts count="6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color indexed="9"/>
      <name val="Arial"/>
      <family val="2"/>
    </font>
    <font>
      <b/>
      <sz val="14"/>
      <color indexed="9"/>
      <name val="Arial"/>
      <family val="2"/>
    </font>
    <font>
      <sz val="10"/>
      <color indexed="9"/>
      <name val="Arial"/>
      <family val="2"/>
    </font>
    <font>
      <sz val="14"/>
      <color indexed="18"/>
      <name val="Arial"/>
      <family val="2"/>
    </font>
    <font>
      <b/>
      <sz val="14"/>
      <color theme="3" tint="-0.249977111117893"/>
      <name val="Arial"/>
      <family val="2"/>
    </font>
    <font>
      <b/>
      <sz val="14"/>
      <color indexed="18"/>
      <name val="Arial"/>
      <family val="2"/>
    </font>
    <font>
      <b/>
      <sz val="9"/>
      <color indexed="9"/>
      <name val="Arial"/>
      <family val="2"/>
    </font>
    <font>
      <sz val="11"/>
      <name val="Arial"/>
      <family val="2"/>
    </font>
    <font>
      <sz val="8"/>
      <color indexed="81"/>
      <name val="Tahoma"/>
      <family val="2"/>
    </font>
    <font>
      <b/>
      <sz val="12"/>
      <color indexed="9"/>
      <name val="Arial"/>
      <family val="2"/>
    </font>
    <font>
      <u/>
      <sz val="7.5"/>
      <color indexed="12"/>
      <name val="Arial"/>
      <family val="2"/>
    </font>
    <font>
      <b/>
      <sz val="10"/>
      <color indexed="18"/>
      <name val="Arial"/>
      <family val="2"/>
    </font>
    <font>
      <b/>
      <sz val="10"/>
      <color theme="3" tint="-0.249977111117893"/>
      <name val="Arial"/>
      <family val="2"/>
    </font>
    <font>
      <b/>
      <sz val="12"/>
      <color indexed="53"/>
      <name val="Arial"/>
      <family val="2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b/>
      <sz val="20"/>
      <color indexed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b/>
      <sz val="12"/>
      <color theme="3" tint="-0.249977111117893"/>
      <name val="Arial"/>
      <family val="2"/>
    </font>
    <font>
      <sz val="8"/>
      <color indexed="8"/>
      <name val="Arial"/>
      <family val="2"/>
    </font>
    <font>
      <b/>
      <sz val="11"/>
      <color indexed="9"/>
      <name val="Arial"/>
      <family val="2"/>
    </font>
    <font>
      <b/>
      <sz val="12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i/>
      <sz val="8"/>
      <name val="Arial"/>
      <family val="2"/>
    </font>
    <font>
      <i/>
      <sz val="9"/>
      <name val="Arial"/>
      <family val="2"/>
    </font>
    <font>
      <sz val="10"/>
      <color indexed="8"/>
      <name val="Arial"/>
      <family val="2"/>
    </font>
    <font>
      <b/>
      <sz val="10"/>
      <color indexed="9"/>
      <name val="MS Sans Serif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b/>
      <sz val="10"/>
      <color indexed="8"/>
      <name val="Arial"/>
      <family val="2"/>
    </font>
    <font>
      <sz val="7"/>
      <name val="Arial"/>
      <family val="2"/>
    </font>
    <font>
      <b/>
      <sz val="8"/>
      <color indexed="81"/>
      <name val="Tahoma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67955565050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7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13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4" fillId="0" borderId="0" applyNumberFormat="0" applyFont="0" applyFill="0" applyBorder="0" applyAlignment="0" applyProtection="0"/>
    <xf numFmtId="1" fontId="2" fillId="0" borderId="0">
      <alignment vertical="center"/>
    </xf>
    <xf numFmtId="0" fontId="24" fillId="0" borderId="0"/>
    <xf numFmtId="0" fontId="24" fillId="0" borderId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29" borderId="0" applyNumberFormat="0" applyBorder="0" applyAlignment="0" applyProtection="0"/>
    <xf numFmtId="0" fontId="45" fillId="29" borderId="0" applyNumberFormat="0" applyBorder="0" applyAlignment="0" applyProtection="0"/>
    <xf numFmtId="0" fontId="45" fillId="29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1" fontId="47" fillId="0" borderId="0">
      <protection locked="0"/>
    </xf>
    <xf numFmtId="1" fontId="47" fillId="0" borderId="0">
      <protection locked="0"/>
    </xf>
    <xf numFmtId="0" fontId="48" fillId="30" borderId="17" applyNumberFormat="0" applyAlignment="0" applyProtection="0"/>
    <xf numFmtId="0" fontId="48" fillId="30" borderId="17" applyNumberFormat="0" applyAlignment="0" applyProtection="0"/>
    <xf numFmtId="0" fontId="48" fillId="30" borderId="17" applyNumberFormat="0" applyAlignment="0" applyProtection="0"/>
    <xf numFmtId="0" fontId="48" fillId="30" borderId="17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50" fillId="0" borderId="19" applyNumberFormat="0" applyFill="0" applyAlignment="0" applyProtection="0"/>
    <xf numFmtId="0" fontId="50" fillId="0" borderId="19" applyNumberFormat="0" applyFill="0" applyAlignment="0" applyProtection="0"/>
    <xf numFmtId="0" fontId="50" fillId="0" borderId="19" applyNumberFormat="0" applyFill="0" applyAlignment="0" applyProtection="0"/>
    <xf numFmtId="0" fontId="50" fillId="0" borderId="19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45" fillId="34" borderId="0" applyNumberFormat="0" applyBorder="0" applyAlignment="0" applyProtection="0"/>
    <xf numFmtId="0" fontId="45" fillId="34" borderId="0" applyNumberFormat="0" applyBorder="0" applyAlignment="0" applyProtection="0"/>
    <xf numFmtId="0" fontId="45" fillId="34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52" fillId="21" borderId="17" applyNumberFormat="0" applyAlignment="0" applyProtection="0"/>
    <xf numFmtId="0" fontId="52" fillId="21" borderId="17" applyNumberFormat="0" applyAlignment="0" applyProtection="0"/>
    <xf numFmtId="0" fontId="52" fillId="21" borderId="17" applyNumberFormat="0" applyAlignment="0" applyProtection="0"/>
    <xf numFmtId="0" fontId="52" fillId="21" borderId="17" applyNumberFormat="0" applyAlignment="0" applyProtection="0"/>
    <xf numFmtId="0" fontId="2" fillId="0" borderId="0"/>
    <xf numFmtId="168" fontId="2" fillId="0" borderId="0" applyFont="0" applyFill="0" applyBorder="0" applyAlignment="0" applyProtection="0">
      <alignment vertical="center"/>
    </xf>
    <xf numFmtId="1" fontId="53" fillId="0" borderId="0">
      <protection locked="0"/>
    </xf>
    <xf numFmtId="169" fontId="53" fillId="0" borderId="0">
      <protection locked="0"/>
    </xf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170" fontId="2" fillId="0" borderId="0" applyFont="0" applyFill="0" applyBorder="0" applyAlignment="0" applyProtection="0"/>
    <xf numFmtId="171" fontId="53" fillId="0" borderId="0">
      <protection locked="0"/>
    </xf>
    <xf numFmtId="172" fontId="53" fillId="0" borderId="0">
      <protection locked="0"/>
    </xf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3" fontId="2" fillId="0" borderId="0">
      <alignment vertical="center"/>
    </xf>
    <xf numFmtId="3" fontId="2" fillId="0" borderId="0">
      <alignment vertical="center"/>
    </xf>
    <xf numFmtId="0" fontId="2" fillId="37" borderId="20" applyNumberFormat="0" applyFont="0" applyAlignment="0" applyProtection="0"/>
    <xf numFmtId="0" fontId="2" fillId="37" borderId="20" applyNumberFormat="0" applyFont="0" applyAlignment="0" applyProtection="0"/>
    <xf numFmtId="0" fontId="2" fillId="37" borderId="20" applyNumberFormat="0" applyFont="0" applyAlignment="0" applyProtection="0"/>
    <xf numFmtId="0" fontId="2" fillId="37" borderId="20" applyNumberFormat="0" applyFont="0" applyAlignment="0" applyProtection="0"/>
    <xf numFmtId="173" fontId="53" fillId="0" borderId="0">
      <protection locked="0"/>
    </xf>
    <xf numFmtId="174" fontId="53" fillId="0" borderId="0">
      <protection locked="0"/>
    </xf>
    <xf numFmtId="175" fontId="53" fillId="0" borderId="0">
      <protection locked="0"/>
    </xf>
    <xf numFmtId="0" fontId="56" fillId="30" borderId="21" applyNumberFormat="0" applyAlignment="0" applyProtection="0"/>
    <xf numFmtId="0" fontId="56" fillId="30" borderId="21" applyNumberFormat="0" applyAlignment="0" applyProtection="0"/>
    <xf numFmtId="0" fontId="56" fillId="30" borderId="21" applyNumberFormat="0" applyAlignment="0" applyProtection="0"/>
    <xf numFmtId="0" fontId="56" fillId="30" borderId="21" applyNumberFormat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9" fillId="0" borderId="22" applyNumberFormat="0" applyFill="0" applyAlignment="0" applyProtection="0"/>
    <xf numFmtId="0" fontId="59" fillId="0" borderId="22" applyNumberFormat="0" applyFill="0" applyAlignment="0" applyProtection="0"/>
    <xf numFmtId="0" fontId="59" fillId="0" borderId="22" applyNumberFormat="0" applyFill="0" applyAlignment="0" applyProtection="0"/>
    <xf numFmtId="0" fontId="60" fillId="0" borderId="23" applyNumberFormat="0" applyFill="0" applyAlignment="0" applyProtection="0"/>
    <xf numFmtId="0" fontId="60" fillId="0" borderId="23" applyNumberFormat="0" applyFill="0" applyAlignment="0" applyProtection="0"/>
    <xf numFmtId="0" fontId="60" fillId="0" borderId="23" applyNumberFormat="0" applyFill="0" applyAlignment="0" applyProtection="0"/>
    <xf numFmtId="0" fontId="60" fillId="0" borderId="23" applyNumberFormat="0" applyFill="0" applyAlignment="0" applyProtection="0"/>
    <xf numFmtId="0" fontId="51" fillId="0" borderId="24" applyNumberFormat="0" applyFill="0" applyAlignment="0" applyProtection="0"/>
    <xf numFmtId="0" fontId="51" fillId="0" borderId="24" applyNumberFormat="0" applyFill="0" applyAlignment="0" applyProtection="0"/>
    <xf numFmtId="0" fontId="51" fillId="0" borderId="24" applyNumberFormat="0" applyFill="0" applyAlignment="0" applyProtection="0"/>
    <xf numFmtId="0" fontId="51" fillId="0" borderId="24" applyNumberFormat="0" applyFill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1" fontId="53" fillId="0" borderId="25">
      <protection locked="0"/>
    </xf>
    <xf numFmtId="1" fontId="53" fillId="0" borderId="25">
      <protection locked="0"/>
    </xf>
    <xf numFmtId="1" fontId="53" fillId="0" borderId="25">
      <protection locked="0"/>
    </xf>
    <xf numFmtId="1" fontId="53" fillId="0" borderId="25">
      <protection locked="0"/>
    </xf>
  </cellStyleXfs>
  <cellXfs count="617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3" borderId="0" xfId="2" applyFont="1" applyFill="1" applyAlignment="1">
      <alignment horizontal="center"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1" fontId="2" fillId="4" borderId="0" xfId="2" applyFill="1">
      <alignment vertical="center"/>
    </xf>
    <xf numFmtId="1" fontId="9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0" fillId="0" borderId="0" xfId="2" applyFont="1">
      <alignment vertical="center"/>
    </xf>
    <xf numFmtId="1" fontId="4" fillId="3" borderId="0" xfId="2" applyFont="1" applyFill="1" applyAlignment="1">
      <alignment horizontal="left" vertical="center" indent="1"/>
    </xf>
    <xf numFmtId="1" fontId="8" fillId="2" borderId="0" xfId="2" applyFont="1" applyFill="1">
      <alignment vertical="center"/>
    </xf>
    <xf numFmtId="1" fontId="12" fillId="4" borderId="0" xfId="2" applyFont="1" applyFill="1" applyAlignment="1">
      <alignment horizontal="left" vertical="center" indent="1"/>
    </xf>
    <xf numFmtId="3" fontId="14" fillId="2" borderId="0" xfId="3" applyNumberFormat="1" applyFont="1" applyFill="1" applyAlignment="1" applyProtection="1">
      <alignment vertical="center"/>
    </xf>
    <xf numFmtId="3" fontId="15" fillId="2" borderId="0" xfId="3" applyNumberFormat="1" applyFont="1" applyFill="1" applyAlignment="1" applyProtection="1">
      <alignment vertical="center"/>
    </xf>
    <xf numFmtId="1" fontId="15" fillId="2" borderId="0" xfId="2" applyFont="1" applyFill="1">
      <alignment vertical="center"/>
    </xf>
    <xf numFmtId="1" fontId="14" fillId="2" borderId="0" xfId="2" applyFont="1" applyFill="1">
      <alignment vertical="center"/>
    </xf>
    <xf numFmtId="1" fontId="8" fillId="0" borderId="0" xfId="2" applyFont="1">
      <alignment vertical="center"/>
    </xf>
    <xf numFmtId="1" fontId="16" fillId="0" borderId="0" xfId="2" applyFont="1">
      <alignment vertical="center"/>
    </xf>
    <xf numFmtId="1" fontId="2" fillId="0" borderId="0" xfId="2" applyFont="1">
      <alignment vertical="center"/>
    </xf>
    <xf numFmtId="1" fontId="17" fillId="5" borderId="0" xfId="2" applyFont="1" applyFill="1">
      <alignment vertical="center"/>
    </xf>
    <xf numFmtId="1" fontId="18" fillId="5" borderId="0" xfId="2" applyFont="1" applyFill="1">
      <alignment vertical="center"/>
    </xf>
    <xf numFmtId="1" fontId="19" fillId="0" borderId="0" xfId="2" applyFont="1">
      <alignment vertical="center"/>
    </xf>
    <xf numFmtId="1" fontId="20" fillId="3" borderId="1" xfId="2" applyFont="1" applyFill="1" applyBorder="1" applyAlignment="1" applyProtection="1">
      <alignment horizontal="center" vertical="center"/>
      <protection hidden="1"/>
    </xf>
    <xf numFmtId="1" fontId="20" fillId="3" borderId="2" xfId="2" applyFont="1" applyFill="1" applyBorder="1" applyAlignment="1" applyProtection="1">
      <alignment horizontal="center" vertical="center"/>
      <protection hidden="1"/>
    </xf>
    <xf numFmtId="1" fontId="20" fillId="3" borderId="3" xfId="2" applyFont="1" applyFill="1" applyBorder="1" applyAlignment="1" applyProtection="1">
      <alignment horizontal="center" vertical="center"/>
      <protection hidden="1"/>
    </xf>
    <xf numFmtId="1" fontId="21" fillId="6" borderId="1" xfId="2" applyFont="1" applyFill="1" applyBorder="1" applyAlignment="1" applyProtection="1">
      <alignment horizontal="center" vertical="center"/>
      <protection hidden="1"/>
    </xf>
    <xf numFmtId="17" fontId="22" fillId="6" borderId="4" xfId="2" applyNumberFormat="1" applyFont="1" applyFill="1" applyBorder="1" applyAlignment="1" applyProtection="1">
      <alignment horizontal="center" vertical="center" wrapText="1"/>
      <protection hidden="1"/>
    </xf>
    <xf numFmtId="49" fontId="22" fillId="6" borderId="4" xfId="2" applyNumberFormat="1" applyFont="1" applyFill="1" applyBorder="1" applyAlignment="1" applyProtection="1">
      <alignment horizontal="center" vertical="center" wrapText="1"/>
      <protection hidden="1"/>
    </xf>
    <xf numFmtId="1" fontId="2" fillId="7" borderId="5" xfId="2" applyFont="1" applyFill="1" applyBorder="1" applyAlignment="1" applyProtection="1">
      <alignment horizontal="left"/>
      <protection hidden="1"/>
    </xf>
    <xf numFmtId="164" fontId="2" fillId="7" borderId="6" xfId="2" applyNumberFormat="1" applyFont="1" applyFill="1" applyBorder="1" applyProtection="1">
      <alignment vertical="center"/>
      <protection hidden="1"/>
    </xf>
    <xf numFmtId="165" fontId="2" fillId="7" borderId="6" xfId="4" applyNumberFormat="1" applyFont="1" applyFill="1" applyBorder="1" applyProtection="1">
      <alignment vertical="center"/>
      <protection hidden="1"/>
    </xf>
    <xf numFmtId="10" fontId="2" fillId="7" borderId="6" xfId="4" applyNumberFormat="1" applyFont="1" applyFill="1" applyBorder="1" applyProtection="1">
      <alignment vertical="center"/>
      <protection hidden="1"/>
    </xf>
    <xf numFmtId="1" fontId="2" fillId="0" borderId="7" xfId="2" applyFont="1" applyBorder="1" applyAlignment="1" applyProtection="1">
      <alignment horizontal="left"/>
      <protection hidden="1"/>
    </xf>
    <xf numFmtId="164" fontId="2" fillId="0" borderId="8" xfId="2" applyNumberFormat="1" applyFont="1" applyBorder="1" applyProtection="1">
      <alignment vertical="center"/>
      <protection hidden="1"/>
    </xf>
    <xf numFmtId="165" fontId="2" fillId="0" borderId="8" xfId="4" applyNumberFormat="1" applyFont="1" applyBorder="1" applyProtection="1">
      <alignment vertical="center"/>
      <protection hidden="1"/>
    </xf>
    <xf numFmtId="10" fontId="2" fillId="0" borderId="8" xfId="4" applyNumberFormat="1" applyFont="1" applyBorder="1" applyProtection="1">
      <alignment vertical="center"/>
      <protection hidden="1"/>
    </xf>
    <xf numFmtId="165" fontId="2" fillId="0" borderId="9" xfId="4" applyNumberFormat="1" applyFont="1" applyBorder="1" applyProtection="1">
      <alignment vertical="center"/>
      <protection hidden="1"/>
    </xf>
    <xf numFmtId="1" fontId="23" fillId="0" borderId="1" xfId="2" applyFont="1" applyBorder="1" applyAlignment="1" applyProtection="1">
      <protection hidden="1"/>
    </xf>
    <xf numFmtId="1" fontId="2" fillId="0" borderId="2" xfId="2" applyFont="1" applyBorder="1" applyProtection="1">
      <alignment vertical="center"/>
      <protection hidden="1"/>
    </xf>
    <xf numFmtId="1" fontId="2" fillId="0" borderId="3" xfId="2" applyFont="1" applyBorder="1" applyProtection="1">
      <alignment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0" fillId="3" borderId="4" xfId="5" applyNumberFormat="1" applyFont="1" applyFill="1" applyBorder="1" applyAlignment="1">
      <alignment horizontal="center" vertical="center" wrapText="1"/>
    </xf>
    <xf numFmtId="0" fontId="0" fillId="6" borderId="4" xfId="0" applyFill="1" applyBorder="1" applyAlignment="1">
      <alignment horizontal="center"/>
    </xf>
    <xf numFmtId="0" fontId="0" fillId="8" borderId="4" xfId="0" applyFill="1" applyBorder="1" applyAlignment="1">
      <alignment horizontal="center" vertical="center" wrapText="1"/>
    </xf>
    <xf numFmtId="165" fontId="0" fillId="0" borderId="0" xfId="1" applyNumberFormat="1" applyFont="1"/>
    <xf numFmtId="0" fontId="0" fillId="9" borderId="8" xfId="0" applyFill="1" applyBorder="1" applyAlignment="1">
      <alignment horizontal="right"/>
    </xf>
    <xf numFmtId="3" fontId="0" fillId="0" borderId="8" xfId="0" applyNumberFormat="1" applyBorder="1"/>
    <xf numFmtId="3" fontId="0" fillId="0" borderId="0" xfId="0" applyNumberFormat="1"/>
    <xf numFmtId="1" fontId="0" fillId="10" borderId="8" xfId="0" applyNumberFormat="1" applyFill="1" applyBorder="1" applyAlignment="1">
      <alignment horizontal="center" vertical="center" wrapText="1"/>
    </xf>
    <xf numFmtId="3" fontId="0" fillId="10" borderId="8" xfId="0" applyNumberFormat="1" applyFill="1" applyBorder="1" applyAlignment="1">
      <alignment vertical="center"/>
    </xf>
    <xf numFmtId="0" fontId="0" fillId="7" borderId="8" xfId="0" applyFill="1" applyBorder="1" applyAlignment="1">
      <alignment horizontal="center" vertical="center" wrapText="1"/>
    </xf>
    <xf numFmtId="3" fontId="0" fillId="7" borderId="8" xfId="0" applyNumberFormat="1" applyFill="1" applyBorder="1"/>
    <xf numFmtId="0" fontId="0" fillId="11" borderId="8" xfId="0" applyFill="1" applyBorder="1" applyAlignment="1">
      <alignment horizontal="center" vertical="center" wrapText="1"/>
    </xf>
    <xf numFmtId="3" fontId="0" fillId="11" borderId="8" xfId="0" applyNumberFormat="1" applyFill="1" applyBorder="1"/>
    <xf numFmtId="0" fontId="25" fillId="2" borderId="10" xfId="3" applyNumberFormat="1" applyFont="1" applyFill="1" applyBorder="1" applyAlignment="1" applyProtection="1">
      <alignment horizontal="center" vertical="center" wrapText="1"/>
    </xf>
    <xf numFmtId="0" fontId="26" fillId="6" borderId="1" xfId="5" applyNumberFormat="1" applyFont="1" applyFill="1" applyBorder="1" applyAlignment="1" applyProtection="1">
      <alignment vertical="center" wrapText="1"/>
    </xf>
    <xf numFmtId="0" fontId="26" fillId="6" borderId="2" xfId="5" applyNumberFormat="1" applyFont="1" applyFill="1" applyBorder="1" applyAlignment="1" applyProtection="1">
      <alignment vertical="center" wrapText="1"/>
    </xf>
    <xf numFmtId="0" fontId="26" fillId="6" borderId="3" xfId="5" applyNumberFormat="1" applyFont="1" applyFill="1" applyBorder="1" applyAlignment="1" applyProtection="1">
      <alignment vertical="center" wrapText="1"/>
    </xf>
    <xf numFmtId="0" fontId="0" fillId="6" borderId="6" xfId="0" applyFill="1" applyBorder="1" applyAlignment="1">
      <alignment horizontal="center"/>
    </xf>
    <xf numFmtId="0" fontId="0" fillId="8" borderId="6" xfId="0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/>
    </xf>
    <xf numFmtId="0" fontId="0" fillId="8" borderId="9" xfId="0" applyFill="1" applyBorder="1" applyAlignment="1">
      <alignment horizontal="center" vertical="center" wrapText="1"/>
    </xf>
    <xf numFmtId="10" fontId="0" fillId="0" borderId="8" xfId="0" applyNumberFormat="1" applyBorder="1"/>
    <xf numFmtId="0" fontId="0" fillId="10" borderId="8" xfId="0" applyFill="1" applyBorder="1" applyAlignment="1">
      <alignment horizontal="center" vertical="center" wrapText="1"/>
    </xf>
    <xf numFmtId="10" fontId="0" fillId="10" borderId="8" xfId="0" applyNumberFormat="1" applyFill="1" applyBorder="1" applyAlignment="1">
      <alignment vertical="center"/>
    </xf>
    <xf numFmtId="10" fontId="0" fillId="7" borderId="8" xfId="0" applyNumberFormat="1" applyFill="1" applyBorder="1"/>
    <xf numFmtId="10" fontId="0" fillId="11" borderId="8" xfId="0" applyNumberFormat="1" applyFill="1" applyBorder="1"/>
    <xf numFmtId="3" fontId="20" fillId="3" borderId="7" xfId="5" applyNumberFormat="1" applyFont="1" applyFill="1" applyBorder="1" applyAlignment="1">
      <alignment horizontal="center" vertical="center" wrapText="1"/>
    </xf>
    <xf numFmtId="3" fontId="20" fillId="3" borderId="0" xfId="5" applyNumberFormat="1" applyFont="1" applyFill="1" applyBorder="1" applyAlignment="1">
      <alignment horizontal="center" vertical="center" wrapText="1"/>
    </xf>
    <xf numFmtId="1" fontId="20" fillId="3" borderId="11" xfId="5" applyNumberFormat="1" applyFont="1" applyFill="1" applyBorder="1" applyAlignment="1">
      <alignment horizontal="center" vertical="center" wrapText="1"/>
    </xf>
    <xf numFmtId="1" fontId="20" fillId="3" borderId="12" xfId="5" applyNumberFormat="1" applyFont="1" applyFill="1" applyBorder="1" applyAlignment="1">
      <alignment horizontal="center" vertical="center" wrapText="1"/>
    </xf>
    <xf numFmtId="0" fontId="0" fillId="6" borderId="4" xfId="0" applyFill="1" applyBorder="1" applyAlignment="1">
      <alignment horizontal="center" vertical="center" wrapText="1"/>
    </xf>
    <xf numFmtId="0" fontId="0" fillId="0" borderId="6" xfId="0" applyBorder="1" applyAlignment="1">
      <alignment horizontal="left"/>
    </xf>
    <xf numFmtId="3" fontId="0" fillId="0" borderId="6" xfId="0" applyNumberFormat="1" applyBorder="1"/>
    <xf numFmtId="0" fontId="0" fillId="0" borderId="8" xfId="0" applyBorder="1" applyAlignment="1">
      <alignment horizontal="left"/>
    </xf>
    <xf numFmtId="0" fontId="0" fillId="7" borderId="9" xfId="0" applyFill="1" applyBorder="1" applyAlignment="1">
      <alignment horizontal="left"/>
    </xf>
    <xf numFmtId="3" fontId="0" fillId="7" borderId="9" xfId="0" applyNumberFormat="1" applyFill="1" applyBorder="1"/>
    <xf numFmtId="0" fontId="26" fillId="6" borderId="1" xfId="5" applyNumberFormat="1" applyFont="1" applyFill="1" applyBorder="1" applyAlignment="1" applyProtection="1">
      <alignment horizontal="left" vertical="center" wrapText="1"/>
    </xf>
    <xf numFmtId="0" fontId="26" fillId="6" borderId="2" xfId="5" applyNumberFormat="1" applyFont="1" applyFill="1" applyBorder="1" applyAlignment="1" applyProtection="1">
      <alignment horizontal="left" vertical="center" wrapText="1"/>
    </xf>
    <xf numFmtId="0" fontId="26" fillId="6" borderId="3" xfId="5" applyNumberFormat="1" applyFont="1" applyFill="1" applyBorder="1" applyAlignment="1" applyProtection="1">
      <alignment horizontal="left" vertical="center" wrapText="1"/>
    </xf>
    <xf numFmtId="0" fontId="0" fillId="6" borderId="4" xfId="0" applyFill="1" applyBorder="1"/>
    <xf numFmtId="0" fontId="0" fillId="6" borderId="4" xfId="0" applyFill="1" applyBorder="1" applyAlignment="1">
      <alignment wrapText="1"/>
    </xf>
    <xf numFmtId="0" fontId="0" fillId="0" borderId="6" xfId="0" applyBorder="1" applyAlignment="1"/>
    <xf numFmtId="0" fontId="0" fillId="0" borderId="8" xfId="0" applyBorder="1" applyAlignment="1"/>
    <xf numFmtId="0" fontId="0" fillId="7" borderId="4" xfId="0" applyFill="1" applyBorder="1" applyAlignment="1"/>
    <xf numFmtId="3" fontId="0" fillId="7" borderId="4" xfId="0" applyNumberFormat="1" applyFill="1" applyBorder="1"/>
    <xf numFmtId="0" fontId="0" fillId="11" borderId="4" xfId="0" applyFill="1" applyBorder="1" applyAlignment="1"/>
    <xf numFmtId="10" fontId="1" fillId="11" borderId="4" xfId="1" applyNumberFormat="1" applyFont="1" applyFill="1" applyBorder="1"/>
    <xf numFmtId="3" fontId="20" fillId="3" borderId="11" xfId="5" applyNumberFormat="1" applyFont="1" applyFill="1" applyBorder="1" applyAlignment="1">
      <alignment horizontal="center" vertical="center" wrapText="1"/>
    </xf>
    <xf numFmtId="3" fontId="20" fillId="3" borderId="12" xfId="5" applyNumberFormat="1" applyFont="1" applyFill="1" applyBorder="1" applyAlignment="1">
      <alignment horizontal="center" vertical="center" wrapText="1"/>
    </xf>
    <xf numFmtId="0" fontId="0" fillId="0" borderId="9" xfId="0" applyBorder="1" applyAlignment="1"/>
    <xf numFmtId="0" fontId="0" fillId="11" borderId="4" xfId="0" applyFill="1" applyBorder="1"/>
    <xf numFmtId="1" fontId="21" fillId="6" borderId="1" xfId="2" applyFont="1" applyFill="1" applyBorder="1" applyProtection="1">
      <alignment vertical="center"/>
      <protection hidden="1"/>
    </xf>
    <xf numFmtId="1" fontId="2" fillId="6" borderId="13" xfId="2" applyFont="1" applyFill="1" applyBorder="1" applyProtection="1">
      <alignment vertical="center"/>
      <protection hidden="1"/>
    </xf>
    <xf numFmtId="1" fontId="2" fillId="6" borderId="14" xfId="2" applyFont="1" applyFill="1" applyBorder="1" applyProtection="1">
      <alignment vertical="center"/>
      <protection hidden="1"/>
    </xf>
    <xf numFmtId="1" fontId="2" fillId="7" borderId="6" xfId="2" applyFont="1" applyFill="1" applyBorder="1" applyAlignment="1" applyProtection="1">
      <alignment horizontal="left"/>
      <protection hidden="1"/>
    </xf>
    <xf numFmtId="10" fontId="2" fillId="7" borderId="14" xfId="4" applyNumberFormat="1" applyFont="1" applyFill="1" applyBorder="1" applyProtection="1">
      <alignment vertical="center"/>
      <protection hidden="1"/>
    </xf>
    <xf numFmtId="1" fontId="2" fillId="7" borderId="8" xfId="2" applyFont="1" applyFill="1" applyBorder="1" applyAlignment="1" applyProtection="1">
      <alignment horizontal="left"/>
      <protection hidden="1"/>
    </xf>
    <xf numFmtId="164" fontId="2" fillId="7" borderId="8" xfId="2" applyNumberFormat="1" applyFont="1" applyFill="1" applyBorder="1" applyProtection="1">
      <alignment vertical="center"/>
      <protection hidden="1"/>
    </xf>
    <xf numFmtId="165" fontId="2" fillId="7" borderId="8" xfId="4" applyNumberFormat="1" applyFont="1" applyFill="1" applyBorder="1" applyProtection="1">
      <alignment vertical="center"/>
      <protection hidden="1"/>
    </xf>
    <xf numFmtId="10" fontId="2" fillId="7" borderId="15" xfId="4" applyNumberFormat="1" applyFont="1" applyFill="1" applyBorder="1" applyProtection="1">
      <alignment vertical="center"/>
      <protection hidden="1"/>
    </xf>
    <xf numFmtId="1" fontId="2" fillId="6" borderId="2" xfId="2" applyFont="1" applyFill="1" applyBorder="1" applyProtection="1">
      <alignment vertical="center"/>
      <protection hidden="1"/>
    </xf>
    <xf numFmtId="1" fontId="2" fillId="6" borderId="3" xfId="2" applyFont="1" applyFill="1" applyBorder="1" applyProtection="1">
      <alignment vertical="center"/>
      <protection hidden="1"/>
    </xf>
    <xf numFmtId="1" fontId="2" fillId="0" borderId="6" xfId="2" applyFont="1" applyBorder="1" applyAlignment="1" applyProtection="1">
      <alignment horizontal="left"/>
      <protection hidden="1"/>
    </xf>
    <xf numFmtId="165" fontId="2" fillId="0" borderId="6" xfId="4" applyNumberFormat="1" applyFont="1" applyBorder="1" applyProtection="1">
      <alignment vertical="center"/>
      <protection hidden="1"/>
    </xf>
    <xf numFmtId="1" fontId="2" fillId="0" borderId="8" xfId="2" applyFont="1" applyBorder="1" applyAlignment="1" applyProtection="1">
      <alignment horizontal="left"/>
      <protection hidden="1"/>
    </xf>
    <xf numFmtId="164" fontId="2" fillId="0" borderId="9" xfId="2" applyNumberFormat="1" applyFont="1" applyBorder="1" applyProtection="1">
      <alignment vertical="center"/>
      <protection hidden="1"/>
    </xf>
    <xf numFmtId="10" fontId="2" fillId="0" borderId="15" xfId="4" applyNumberFormat="1" applyFont="1" applyBorder="1" applyProtection="1">
      <alignment vertical="center"/>
      <protection hidden="1"/>
    </xf>
    <xf numFmtId="1" fontId="23" fillId="0" borderId="1" xfId="2" applyFont="1" applyBorder="1" applyAlignment="1" applyProtection="1">
      <alignment wrapText="1"/>
      <protection hidden="1"/>
    </xf>
    <xf numFmtId="1" fontId="23" fillId="0" borderId="2" xfId="2" applyFont="1" applyBorder="1" applyAlignment="1" applyProtection="1">
      <alignment wrapText="1"/>
      <protection hidden="1"/>
    </xf>
    <xf numFmtId="1" fontId="23" fillId="0" borderId="3" xfId="2" applyFont="1" applyBorder="1" applyAlignment="1" applyProtection="1">
      <alignment wrapText="1"/>
      <protection hidden="1"/>
    </xf>
    <xf numFmtId="3" fontId="13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5" fillId="0" borderId="0" xfId="2" applyFont="1" applyFill="1" applyAlignment="1">
      <alignment horizontal="center" vertical="center"/>
    </xf>
    <xf numFmtId="1" fontId="5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20" fillId="3" borderId="4" xfId="5" applyNumberFormat="1" applyFont="1" applyFill="1" applyBorder="1" applyAlignment="1" applyProtection="1">
      <alignment horizontal="center" vertical="center" wrapText="1"/>
      <protection hidden="1"/>
    </xf>
    <xf numFmtId="3" fontId="20" fillId="6" borderId="6" xfId="5" applyNumberFormat="1" applyFont="1" applyFill="1" applyBorder="1" applyAlignment="1" applyProtection="1">
      <alignment horizontal="center" vertical="center" wrapText="1"/>
      <protection hidden="1"/>
    </xf>
    <xf numFmtId="3" fontId="21" fillId="6" borderId="4" xfId="5" applyNumberFormat="1" applyFont="1" applyFill="1" applyBorder="1" applyAlignment="1" applyProtection="1">
      <alignment horizontal="center" vertical="center" wrapText="1"/>
      <protection hidden="1"/>
    </xf>
    <xf numFmtId="3" fontId="20" fillId="6" borderId="4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3" fontId="20" fillId="6" borderId="9" xfId="5" applyNumberFormat="1" applyFont="1" applyFill="1" applyBorder="1" applyAlignment="1" applyProtection="1">
      <alignment horizontal="center" vertical="center" wrapText="1"/>
      <protection hidden="1"/>
    </xf>
    <xf numFmtId="0" fontId="0" fillId="6" borderId="4" xfId="0" applyFill="1" applyBorder="1" applyAlignment="1" applyProtection="1">
      <alignment horizontal="center" vertical="center" wrapText="1"/>
      <protection hidden="1"/>
    </xf>
    <xf numFmtId="3" fontId="0" fillId="0" borderId="8" xfId="0" applyNumberFormat="1" applyBorder="1" applyProtection="1">
      <protection hidden="1"/>
    </xf>
    <xf numFmtId="1" fontId="0" fillId="10" borderId="8" xfId="0" applyNumberFormat="1" applyFill="1" applyBorder="1" applyAlignment="1" applyProtection="1">
      <alignment horizontal="center" vertical="center" wrapText="1"/>
      <protection hidden="1"/>
    </xf>
    <xf numFmtId="3" fontId="0" fillId="10" borderId="8" xfId="0" applyNumberFormat="1" applyFill="1" applyBorder="1" applyAlignment="1" applyProtection="1">
      <alignment vertical="center"/>
      <protection hidden="1"/>
    </xf>
    <xf numFmtId="0" fontId="0" fillId="7" borderId="8" xfId="0" applyFill="1" applyBorder="1" applyAlignment="1" applyProtection="1">
      <alignment horizontal="left"/>
      <protection hidden="1"/>
    </xf>
    <xf numFmtId="3" fontId="0" fillId="7" borderId="8" xfId="0" applyNumberFormat="1" applyFill="1" applyBorder="1" applyProtection="1">
      <protection hidden="1"/>
    </xf>
    <xf numFmtId="0" fontId="0" fillId="11" borderId="8" xfId="0" applyFill="1" applyBorder="1" applyAlignment="1" applyProtection="1">
      <alignment horizontal="left"/>
      <protection hidden="1"/>
    </xf>
    <xf numFmtId="3" fontId="0" fillId="11" borderId="8" xfId="0" applyNumberFormat="1" applyFill="1" applyBorder="1" applyProtection="1">
      <protection hidden="1"/>
    </xf>
    <xf numFmtId="0" fontId="26" fillId="6" borderId="1" xfId="5" applyNumberFormat="1" applyFont="1" applyFill="1" applyBorder="1" applyAlignment="1" applyProtection="1">
      <alignment horizontal="left" vertical="center" wrapText="1"/>
      <protection hidden="1"/>
    </xf>
    <xf numFmtId="0" fontId="26" fillId="6" borderId="2" xfId="5" applyNumberFormat="1" applyFont="1" applyFill="1" applyBorder="1" applyAlignment="1" applyProtection="1">
      <alignment horizontal="left" vertical="center" wrapText="1"/>
      <protection hidden="1"/>
    </xf>
    <xf numFmtId="0" fontId="26" fillId="6" borderId="3" xfId="5" applyNumberFormat="1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10" fontId="0" fillId="9" borderId="8" xfId="0" applyNumberFormat="1" applyFill="1" applyBorder="1" applyProtection="1">
      <protection hidden="1"/>
    </xf>
    <xf numFmtId="0" fontId="0" fillId="10" borderId="8" xfId="0" applyFill="1" applyBorder="1" applyAlignment="1" applyProtection="1">
      <alignment horizontal="center" vertical="center" wrapText="1"/>
      <protection hidden="1"/>
    </xf>
    <xf numFmtId="10" fontId="0" fillId="10" borderId="8" xfId="0" applyNumberFormat="1" applyFill="1" applyBorder="1" applyAlignment="1" applyProtection="1">
      <alignment vertical="center"/>
      <protection hidden="1"/>
    </xf>
    <xf numFmtId="10" fontId="0" fillId="7" borderId="8" xfId="0" applyNumberFormat="1" applyFill="1" applyBorder="1" applyProtection="1">
      <protection hidden="1"/>
    </xf>
    <xf numFmtId="10" fontId="0" fillId="11" borderId="8" xfId="0" applyNumberFormat="1" applyFill="1" applyBorder="1" applyProtection="1">
      <protection hidden="1"/>
    </xf>
    <xf numFmtId="3" fontId="20" fillId="3" borderId="11" xfId="5" applyNumberFormat="1" applyFont="1" applyFill="1" applyBorder="1" applyAlignment="1" applyProtection="1">
      <alignment horizontal="center" vertical="center" wrapText="1"/>
      <protection hidden="1"/>
    </xf>
    <xf numFmtId="3" fontId="20" fillId="3" borderId="12" xfId="5" applyNumberFormat="1" applyFont="1" applyFill="1" applyBorder="1" applyAlignment="1" applyProtection="1">
      <alignment horizontal="center" vertical="center" wrapText="1"/>
      <protection hidden="1"/>
    </xf>
    <xf numFmtId="0" fontId="0" fillId="6" borderId="7" xfId="0" applyFill="1" applyBorder="1" applyAlignment="1" applyProtection="1">
      <alignment horizontal="center"/>
      <protection hidden="1"/>
    </xf>
    <xf numFmtId="0" fontId="0" fillId="6" borderId="4" xfId="0" applyFill="1" applyBorder="1" applyAlignment="1" applyProtection="1">
      <alignment vertical="center" wrapText="1"/>
      <protection hidden="1"/>
    </xf>
    <xf numFmtId="0" fontId="0" fillId="6" borderId="4" xfId="0" applyFill="1" applyBorder="1" applyAlignment="1" applyProtection="1">
      <alignment wrapText="1"/>
      <protection hidden="1"/>
    </xf>
    <xf numFmtId="0" fontId="0" fillId="0" borderId="8" xfId="0" applyBorder="1" applyAlignment="1" applyProtection="1">
      <protection hidden="1"/>
    </xf>
    <xf numFmtId="10" fontId="0" fillId="0" borderId="8" xfId="0" applyNumberFormat="1" applyBorder="1" applyProtection="1">
      <protection hidden="1"/>
    </xf>
    <xf numFmtId="0" fontId="0" fillId="7" borderId="9" xfId="0" applyFill="1" applyBorder="1" applyAlignment="1" applyProtection="1">
      <alignment horizontal="left"/>
      <protection hidden="1"/>
    </xf>
    <xf numFmtId="3" fontId="0" fillId="7" borderId="9" xfId="0" applyNumberFormat="1" applyFill="1" applyBorder="1" applyProtection="1">
      <protection hidden="1"/>
    </xf>
    <xf numFmtId="10" fontId="0" fillId="7" borderId="9" xfId="0" applyNumberFormat="1" applyFill="1" applyBorder="1" applyProtection="1">
      <protection hidden="1"/>
    </xf>
    <xf numFmtId="0" fontId="26" fillId="12" borderId="1" xfId="5" applyNumberFormat="1" applyFont="1" applyFill="1" applyBorder="1" applyAlignment="1" applyProtection="1">
      <alignment horizontal="left" vertical="center" wrapText="1"/>
      <protection hidden="1"/>
    </xf>
    <xf numFmtId="0" fontId="26" fillId="12" borderId="2" xfId="5" applyNumberFormat="1" applyFont="1" applyFill="1" applyBorder="1" applyAlignment="1" applyProtection="1">
      <alignment horizontal="left" vertical="center" wrapText="1"/>
      <protection hidden="1"/>
    </xf>
    <xf numFmtId="0" fontId="26" fillId="12" borderId="3" xfId="5" applyNumberFormat="1" applyFont="1" applyFill="1" applyBorder="1" applyAlignment="1" applyProtection="1">
      <alignment horizontal="left" vertical="center" wrapText="1"/>
      <protection hidden="1"/>
    </xf>
    <xf numFmtId="0" fontId="0" fillId="6" borderId="4" xfId="0" applyFill="1" applyBorder="1" applyAlignment="1" applyProtection="1">
      <alignment horizontal="center" wrapText="1"/>
      <protection hidden="1"/>
    </xf>
    <xf numFmtId="0" fontId="0" fillId="6" borderId="4" xfId="0" applyFill="1" applyBorder="1" applyAlignment="1" applyProtection="1">
      <alignment horizontal="center" vertical="center" wrapText="1"/>
      <protection hidden="1"/>
    </xf>
    <xf numFmtId="3" fontId="27" fillId="3" borderId="4" xfId="5" applyNumberFormat="1" applyFont="1" applyFill="1" applyBorder="1" applyAlignment="1" applyProtection="1">
      <alignment horizontal="center" vertical="center" wrapText="1"/>
      <protection hidden="1"/>
    </xf>
    <xf numFmtId="0" fontId="0" fillId="6" borderId="4" xfId="0" applyFill="1" applyBorder="1" applyAlignment="1" applyProtection="1">
      <alignment horizontal="center"/>
      <protection hidden="1"/>
    </xf>
    <xf numFmtId="0" fontId="0" fillId="13" borderId="4" xfId="0" applyFill="1" applyBorder="1" applyAlignment="1" applyProtection="1">
      <alignment horizontal="center" vertical="center" wrapText="1"/>
      <protection hidden="1"/>
    </xf>
    <xf numFmtId="0" fontId="0" fillId="13" borderId="4" xfId="0" applyFill="1" applyBorder="1" applyAlignment="1" applyProtection="1">
      <alignment horizontal="center" wrapText="1"/>
      <protection hidden="1"/>
    </xf>
    <xf numFmtId="0" fontId="0" fillId="7" borderId="8" xfId="0" applyFill="1" applyBorder="1" applyAlignment="1" applyProtection="1">
      <alignment horizontal="center" vertical="center" wrapText="1"/>
      <protection hidden="1"/>
    </xf>
    <xf numFmtId="0" fontId="0" fillId="11" borderId="8" xfId="0" applyFill="1" applyBorder="1" applyAlignment="1" applyProtection="1">
      <alignment horizontal="center" vertical="center" wrapText="1"/>
      <protection hidden="1"/>
    </xf>
    <xf numFmtId="0" fontId="26" fillId="6" borderId="4" xfId="5" applyNumberFormat="1" applyFont="1" applyFill="1" applyBorder="1" applyAlignment="1" applyProtection="1">
      <alignment vertical="center" wrapText="1"/>
      <protection hidden="1"/>
    </xf>
    <xf numFmtId="10" fontId="0" fillId="0" borderId="8" xfId="1" applyNumberFormat="1" applyFont="1" applyBorder="1" applyProtection="1">
      <protection hidden="1"/>
    </xf>
    <xf numFmtId="10" fontId="0" fillId="10" borderId="8" xfId="1" applyNumberFormat="1" applyFont="1" applyFill="1" applyBorder="1" applyAlignment="1" applyProtection="1">
      <alignment vertical="center"/>
      <protection hidden="1"/>
    </xf>
    <xf numFmtId="10" fontId="0" fillId="7" borderId="8" xfId="1" applyNumberFormat="1" applyFont="1" applyFill="1" applyBorder="1" applyProtection="1">
      <protection hidden="1"/>
    </xf>
    <xf numFmtId="10" fontId="0" fillId="11" borderId="8" xfId="1" applyNumberFormat="1" applyFont="1" applyFill="1" applyBorder="1" applyProtection="1">
      <protection hidden="1"/>
    </xf>
    <xf numFmtId="3" fontId="27" fillId="3" borderId="7" xfId="5" applyNumberFormat="1" applyFont="1" applyFill="1" applyBorder="1" applyAlignment="1" applyProtection="1">
      <alignment horizontal="center" vertical="center" wrapText="1"/>
      <protection hidden="1"/>
    </xf>
    <xf numFmtId="3" fontId="27" fillId="3" borderId="0" xfId="5" applyNumberFormat="1" applyFont="1" applyFill="1" applyBorder="1" applyAlignment="1" applyProtection="1">
      <alignment horizontal="center" vertical="center" wrapText="1"/>
      <protection hidden="1"/>
    </xf>
    <xf numFmtId="1" fontId="27" fillId="3" borderId="11" xfId="5" applyNumberFormat="1" applyFont="1" applyFill="1" applyBorder="1" applyAlignment="1" applyProtection="1">
      <alignment horizontal="center" vertical="center" wrapText="1"/>
      <protection hidden="1"/>
    </xf>
    <xf numFmtId="1" fontId="27" fillId="3" borderId="12" xfId="5" applyNumberFormat="1" applyFont="1" applyFill="1" applyBorder="1" applyAlignment="1" applyProtection="1">
      <alignment horizontal="center" vertical="center" wrapText="1"/>
      <protection hidden="1"/>
    </xf>
    <xf numFmtId="0" fontId="0" fillId="6" borderId="4" xfId="0" applyFill="1" applyBorder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horizontal="left" vertical="center" wrapText="1"/>
      <protection hidden="1"/>
    </xf>
    <xf numFmtId="3" fontId="0" fillId="0" borderId="6" xfId="0" applyNumberFormat="1" applyBorder="1" applyProtection="1">
      <protection hidden="1"/>
    </xf>
    <xf numFmtId="0" fontId="0" fillId="0" borderId="8" xfId="0" applyBorder="1" applyAlignment="1" applyProtection="1">
      <alignment horizontal="left" vertical="center" wrapText="1"/>
      <protection hidden="1"/>
    </xf>
    <xf numFmtId="0" fontId="0" fillId="7" borderId="9" xfId="0" applyFill="1" applyBorder="1" applyAlignment="1" applyProtection="1">
      <alignment horizontal="left" vertical="center" wrapText="1"/>
      <protection hidden="1"/>
    </xf>
    <xf numFmtId="0" fontId="29" fillId="3" borderId="0" xfId="0" applyFont="1" applyFill="1" applyAlignment="1">
      <alignment horizontal="center" vertical="center"/>
    </xf>
    <xf numFmtId="0" fontId="28" fillId="3" borderId="1" xfId="0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center" vertical="center" wrapText="1"/>
    </xf>
    <xf numFmtId="0" fontId="28" fillId="3" borderId="3" xfId="0" applyFont="1" applyFill="1" applyBorder="1" applyAlignment="1">
      <alignment horizontal="center" vertical="center" wrapText="1"/>
    </xf>
    <xf numFmtId="0" fontId="0" fillId="0" borderId="6" xfId="0" applyBorder="1"/>
    <xf numFmtId="165" fontId="0" fillId="0" borderId="6" xfId="1" applyNumberFormat="1" applyFont="1" applyBorder="1"/>
    <xf numFmtId="0" fontId="0" fillId="0" borderId="8" xfId="0" applyBorder="1"/>
    <xf numFmtId="165" fontId="0" fillId="0" borderId="8" xfId="1" applyNumberFormat="1" applyFont="1" applyBorder="1"/>
    <xf numFmtId="0" fontId="0" fillId="7" borderId="9" xfId="0" applyFill="1" applyBorder="1"/>
    <xf numFmtId="165" fontId="0" fillId="7" borderId="9" xfId="1" applyNumberFormat="1" applyFont="1" applyFill="1" applyBorder="1"/>
    <xf numFmtId="0" fontId="30" fillId="0" borderId="1" xfId="0" applyFont="1" applyBorder="1" applyAlignment="1">
      <alignment horizontal="left" wrapText="1"/>
    </xf>
    <xf numFmtId="0" fontId="30" fillId="0" borderId="2" xfId="0" applyFont="1" applyBorder="1" applyAlignment="1">
      <alignment horizontal="left" wrapText="1"/>
    </xf>
    <xf numFmtId="0" fontId="30" fillId="0" borderId="3" xfId="0" applyFont="1" applyBorder="1" applyAlignment="1">
      <alignment horizontal="left" wrapText="1"/>
    </xf>
    <xf numFmtId="0" fontId="30" fillId="0" borderId="0" xfId="0" applyFont="1" applyBorder="1" applyAlignment="1">
      <alignment horizontal="left" wrapText="1"/>
    </xf>
    <xf numFmtId="1" fontId="12" fillId="3" borderId="12" xfId="6" applyFont="1" applyFill="1" applyBorder="1" applyAlignment="1" applyProtection="1">
      <alignment horizontal="center" vertical="center" wrapText="1"/>
      <protection hidden="1"/>
    </xf>
    <xf numFmtId="1" fontId="2" fillId="0" borderId="0" xfId="6">
      <alignment vertical="center"/>
    </xf>
    <xf numFmtId="1" fontId="21" fillId="6" borderId="6" xfId="6" applyFont="1" applyFill="1" applyBorder="1" applyAlignment="1" applyProtection="1">
      <alignment horizontal="left" vertical="center" wrapText="1"/>
      <protection hidden="1"/>
    </xf>
    <xf numFmtId="1" fontId="2" fillId="6" borderId="5" xfId="6" applyFont="1" applyFill="1" applyBorder="1" applyAlignment="1" applyProtection="1">
      <alignment horizontal="left" vertical="center" wrapText="1"/>
      <protection hidden="1"/>
    </xf>
    <xf numFmtId="166" fontId="2" fillId="6" borderId="5" xfId="6" applyNumberFormat="1" applyFont="1" applyFill="1" applyBorder="1" applyAlignment="1" applyProtection="1">
      <alignment horizontal="left" vertical="center" wrapText="1"/>
      <protection hidden="1"/>
    </xf>
    <xf numFmtId="1" fontId="31" fillId="6" borderId="5" xfId="6" applyFont="1" applyFill="1" applyBorder="1" applyAlignment="1" applyProtection="1">
      <alignment horizontal="left" vertical="center" wrapText="1"/>
      <protection hidden="1"/>
    </xf>
    <xf numFmtId="1" fontId="2" fillId="6" borderId="5" xfId="6" applyFill="1" applyBorder="1" applyAlignment="1" applyProtection="1">
      <alignment vertical="center" wrapText="1"/>
      <protection hidden="1"/>
    </xf>
    <xf numFmtId="1" fontId="2" fillId="6" borderId="4" xfId="6" applyFont="1" applyFill="1" applyBorder="1" applyAlignment="1" applyProtection="1">
      <alignment horizontal="left" vertical="center" wrapText="1"/>
      <protection hidden="1"/>
    </xf>
    <xf numFmtId="1" fontId="2" fillId="0" borderId="0" xfId="6" applyAlignment="1">
      <alignment vertical="center" wrapText="1"/>
    </xf>
    <xf numFmtId="164" fontId="2" fillId="0" borderId="8" xfId="6" applyNumberFormat="1" applyFont="1" applyBorder="1" applyProtection="1">
      <alignment vertical="center"/>
      <protection hidden="1"/>
    </xf>
    <xf numFmtId="165" fontId="2" fillId="0" borderId="8" xfId="1" applyNumberFormat="1" applyFont="1" applyBorder="1" applyAlignment="1" applyProtection="1">
      <alignment vertical="center"/>
      <protection hidden="1"/>
    </xf>
    <xf numFmtId="164" fontId="21" fillId="7" borderId="8" xfId="6" applyNumberFormat="1" applyFont="1" applyFill="1" applyBorder="1" applyProtection="1">
      <alignment vertical="center"/>
      <protection hidden="1"/>
    </xf>
    <xf numFmtId="165" fontId="21" fillId="7" borderId="8" xfId="1" applyNumberFormat="1" applyFont="1" applyFill="1" applyBorder="1" applyAlignment="1" applyProtection="1">
      <alignment vertical="center"/>
      <protection hidden="1"/>
    </xf>
    <xf numFmtId="49" fontId="32" fillId="10" borderId="9" xfId="6" applyNumberFormat="1" applyFont="1" applyFill="1" applyBorder="1" applyAlignment="1" applyProtection="1">
      <alignment horizontal="center" vertical="center" wrapText="1"/>
      <protection hidden="1"/>
    </xf>
    <xf numFmtId="164" fontId="2" fillId="10" borderId="9" xfId="6" applyNumberFormat="1" applyFont="1" applyFill="1" applyBorder="1" applyProtection="1">
      <alignment vertical="center"/>
      <protection hidden="1"/>
    </xf>
    <xf numFmtId="165" fontId="2" fillId="10" borderId="9" xfId="1" applyNumberFormat="1" applyFont="1" applyFill="1" applyBorder="1" applyAlignment="1" applyProtection="1">
      <alignment vertical="center"/>
      <protection hidden="1"/>
    </xf>
    <xf numFmtId="49" fontId="32" fillId="7" borderId="9" xfId="6" applyNumberFormat="1" applyFont="1" applyFill="1" applyBorder="1" applyAlignment="1" applyProtection="1">
      <alignment horizontal="left" vertical="center" wrapText="1"/>
      <protection hidden="1"/>
    </xf>
    <xf numFmtId="164" fontId="2" fillId="7" borderId="9" xfId="6" applyNumberFormat="1" applyFont="1" applyFill="1" applyBorder="1" applyProtection="1">
      <alignment vertical="center"/>
      <protection hidden="1"/>
    </xf>
    <xf numFmtId="165" fontId="2" fillId="7" borderId="9" xfId="1" applyNumberFormat="1" applyFont="1" applyFill="1" applyBorder="1" applyAlignment="1" applyProtection="1">
      <alignment vertical="center"/>
      <protection hidden="1"/>
    </xf>
    <xf numFmtId="164" fontId="21" fillId="7" borderId="9" xfId="6" applyNumberFormat="1" applyFont="1" applyFill="1" applyBorder="1" applyProtection="1">
      <alignment vertical="center"/>
      <protection hidden="1"/>
    </xf>
    <xf numFmtId="165" fontId="21" fillId="7" borderId="9" xfId="1" applyNumberFormat="1" applyFont="1" applyFill="1" applyBorder="1" applyAlignment="1" applyProtection="1">
      <alignment vertical="center"/>
      <protection hidden="1"/>
    </xf>
    <xf numFmtId="49" fontId="32" fillId="11" borderId="9" xfId="6" applyNumberFormat="1" applyFont="1" applyFill="1" applyBorder="1" applyAlignment="1" applyProtection="1">
      <alignment horizontal="left" vertical="center" wrapText="1"/>
      <protection hidden="1"/>
    </xf>
    <xf numFmtId="164" fontId="2" fillId="11" borderId="9" xfId="6" applyNumberFormat="1" applyFont="1" applyFill="1" applyBorder="1" applyProtection="1">
      <alignment vertical="center"/>
      <protection hidden="1"/>
    </xf>
    <xf numFmtId="165" fontId="2" fillId="11" borderId="9" xfId="1" applyNumberFormat="1" applyFont="1" applyFill="1" applyBorder="1" applyAlignment="1" applyProtection="1">
      <alignment vertical="center"/>
      <protection hidden="1"/>
    </xf>
    <xf numFmtId="164" fontId="2" fillId="11" borderId="8" xfId="6" applyNumberFormat="1" applyFont="1" applyFill="1" applyBorder="1" applyProtection="1">
      <alignment vertical="center"/>
      <protection hidden="1"/>
    </xf>
    <xf numFmtId="165" fontId="2" fillId="11" borderId="8" xfId="1" applyNumberFormat="1" applyFont="1" applyFill="1" applyBorder="1" applyAlignment="1" applyProtection="1">
      <alignment vertical="center"/>
      <protection hidden="1"/>
    </xf>
    <xf numFmtId="1" fontId="20" fillId="3" borderId="7" xfId="2" applyFont="1" applyFill="1" applyBorder="1" applyAlignment="1" applyProtection="1">
      <alignment horizontal="center" vertical="center" wrapText="1"/>
      <protection hidden="1"/>
    </xf>
    <xf numFmtId="1" fontId="20" fillId="3" borderId="0" xfId="2" applyFont="1" applyFill="1" applyBorder="1" applyAlignment="1" applyProtection="1">
      <alignment horizontal="center" vertical="center" wrapText="1"/>
      <protection hidden="1"/>
    </xf>
    <xf numFmtId="1" fontId="21" fillId="6" borderId="6" xfId="2" applyFont="1" applyFill="1" applyBorder="1" applyAlignment="1" applyProtection="1">
      <alignment horizontal="left" vertical="center"/>
      <protection hidden="1"/>
    </xf>
    <xf numFmtId="17" fontId="32" fillId="6" borderId="4" xfId="2" applyNumberFormat="1" applyFont="1" applyFill="1" applyBorder="1" applyAlignment="1" applyProtection="1">
      <alignment horizontal="center" vertical="center" wrapText="1"/>
      <protection hidden="1"/>
    </xf>
    <xf numFmtId="1" fontId="22" fillId="6" borderId="4" xfId="2" applyFont="1" applyFill="1" applyBorder="1" applyAlignment="1" applyProtection="1">
      <alignment horizontal="center" vertical="center" wrapText="1"/>
      <protection hidden="1"/>
    </xf>
    <xf numFmtId="1" fontId="2" fillId="0" borderId="5" xfId="2" applyFont="1" applyBorder="1" applyAlignment="1" applyProtection="1">
      <alignment horizontal="left"/>
      <protection hidden="1"/>
    </xf>
    <xf numFmtId="164" fontId="2" fillId="0" borderId="6" xfId="2" applyNumberFormat="1" applyFont="1" applyBorder="1" applyProtection="1">
      <alignment vertical="center"/>
      <protection hidden="1"/>
    </xf>
    <xf numFmtId="10" fontId="2" fillId="0" borderId="6" xfId="4" applyNumberFormat="1" applyFont="1" applyBorder="1" applyProtection="1">
      <alignment vertical="center"/>
      <protection hidden="1"/>
    </xf>
    <xf numFmtId="165" fontId="2" fillId="0" borderId="0" xfId="1" applyNumberFormat="1" applyFont="1" applyAlignment="1">
      <alignment vertical="center"/>
    </xf>
    <xf numFmtId="166" fontId="2" fillId="0" borderId="7" xfId="2" applyNumberFormat="1" applyFont="1" applyBorder="1" applyAlignment="1" applyProtection="1">
      <alignment horizontal="left"/>
      <protection hidden="1"/>
    </xf>
    <xf numFmtId="1" fontId="31" fillId="0" borderId="7" xfId="2" applyFont="1" applyBorder="1" applyAlignment="1" applyProtection="1">
      <alignment horizontal="left" indent="1"/>
      <protection hidden="1"/>
    </xf>
    <xf numFmtId="1" fontId="2" fillId="0" borderId="7" xfId="2" applyBorder="1" applyProtection="1">
      <alignment vertical="center"/>
      <protection hidden="1"/>
    </xf>
    <xf numFmtId="1" fontId="2" fillId="11" borderId="7" xfId="2" applyFill="1" applyBorder="1" applyProtection="1">
      <alignment vertical="center"/>
      <protection hidden="1"/>
    </xf>
    <xf numFmtId="164" fontId="2" fillId="11" borderId="8" xfId="2" applyNumberFormat="1" applyFont="1" applyFill="1" applyBorder="1" applyProtection="1">
      <alignment vertical="center"/>
      <protection hidden="1"/>
    </xf>
    <xf numFmtId="10" fontId="2" fillId="11" borderId="8" xfId="4" applyNumberFormat="1" applyFont="1" applyFill="1" applyBorder="1" applyProtection="1">
      <alignment vertical="center"/>
      <protection hidden="1"/>
    </xf>
    <xf numFmtId="1" fontId="21" fillId="7" borderId="11" xfId="2" applyFont="1" applyFill="1" applyBorder="1" applyAlignment="1" applyProtection="1">
      <alignment horizontal="left"/>
      <protection hidden="1"/>
    </xf>
    <xf numFmtId="164" fontId="21" fillId="7" borderId="9" xfId="2" applyNumberFormat="1" applyFont="1" applyFill="1" applyBorder="1" applyProtection="1">
      <alignment vertical="center"/>
      <protection hidden="1"/>
    </xf>
    <xf numFmtId="10" fontId="21" fillId="7" borderId="9" xfId="4" applyNumberFormat="1" applyFont="1" applyFill="1" applyBorder="1" applyProtection="1">
      <alignment vertical="center"/>
      <protection hidden="1"/>
    </xf>
    <xf numFmtId="1" fontId="23" fillId="0" borderId="1" xfId="2" applyFont="1" applyBorder="1" applyAlignment="1" applyProtection="1">
      <alignment horizontal="left" wrapText="1"/>
      <protection hidden="1"/>
    </xf>
    <xf numFmtId="1" fontId="23" fillId="0" borderId="2" xfId="2" applyFont="1" applyBorder="1" applyAlignment="1" applyProtection="1">
      <alignment horizontal="left" wrapText="1"/>
      <protection hidden="1"/>
    </xf>
    <xf numFmtId="1" fontId="23" fillId="0" borderId="3" xfId="2" applyFont="1" applyBorder="1" applyAlignment="1" applyProtection="1">
      <alignment horizontal="left" wrapText="1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6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" fontId="20" fillId="3" borderId="1" xfId="2" applyFont="1" applyFill="1" applyBorder="1" applyAlignment="1" applyProtection="1">
      <alignment horizontal="center" vertical="center" wrapText="1"/>
      <protection hidden="1"/>
    </xf>
    <xf numFmtId="1" fontId="20" fillId="3" borderId="2" xfId="2" applyFont="1" applyFill="1" applyBorder="1" applyAlignment="1" applyProtection="1">
      <alignment horizontal="center" vertical="center" wrapText="1"/>
      <protection hidden="1"/>
    </xf>
    <xf numFmtId="1" fontId="20" fillId="3" borderId="3" xfId="2" applyFont="1" applyFill="1" applyBorder="1" applyAlignment="1" applyProtection="1">
      <alignment horizontal="center" vertical="center" wrapText="1"/>
      <protection hidden="1"/>
    </xf>
    <xf numFmtId="165" fontId="2" fillId="0" borderId="6" xfId="4" applyNumberFormat="1" applyFont="1" applyBorder="1" applyAlignment="1" applyProtection="1">
      <alignment horizontal="center"/>
      <protection hidden="1"/>
    </xf>
    <xf numFmtId="165" fontId="2" fillId="0" borderId="14" xfId="4" applyNumberFormat="1" applyFont="1" applyBorder="1" applyAlignment="1" applyProtection="1">
      <alignment horizontal="center"/>
      <protection hidden="1"/>
    </xf>
    <xf numFmtId="165" fontId="0" fillId="0" borderId="0" xfId="4" applyNumberFormat="1" applyFont="1">
      <alignment vertical="center"/>
    </xf>
    <xf numFmtId="165" fontId="2" fillId="0" borderId="8" xfId="4" applyNumberFormat="1" applyFont="1" applyBorder="1" applyAlignment="1" applyProtection="1">
      <alignment horizontal="center"/>
      <protection hidden="1"/>
    </xf>
    <xf numFmtId="165" fontId="2" fillId="0" borderId="15" xfId="4" applyNumberFormat="1" applyFont="1" applyBorder="1" applyAlignment="1" applyProtection="1">
      <alignment horizontal="center"/>
      <protection hidden="1"/>
    </xf>
    <xf numFmtId="165" fontId="2" fillId="11" borderId="8" xfId="4" applyNumberFormat="1" applyFont="1" applyFill="1" applyBorder="1" applyAlignment="1" applyProtection="1">
      <alignment horizontal="center"/>
      <protection hidden="1"/>
    </xf>
    <xf numFmtId="165" fontId="2" fillId="11" borderId="15" xfId="4" applyNumberFormat="1" applyFont="1" applyFill="1" applyBorder="1" applyAlignment="1" applyProtection="1">
      <alignment horizontal="center"/>
      <protection hidden="1"/>
    </xf>
    <xf numFmtId="165" fontId="21" fillId="7" borderId="9" xfId="4" applyNumberFormat="1" applyFont="1" applyFill="1" applyBorder="1" applyAlignment="1" applyProtection="1">
      <alignment horizontal="center"/>
      <protection hidden="1"/>
    </xf>
    <xf numFmtId="165" fontId="21" fillId="7" borderId="16" xfId="4" applyNumberFormat="1" applyFont="1" applyFill="1" applyBorder="1" applyAlignment="1" applyProtection="1">
      <alignment horizontal="center"/>
      <protection hidden="1"/>
    </xf>
    <xf numFmtId="49" fontId="20" fillId="3" borderId="5" xfId="2" applyNumberFormat="1" applyFont="1" applyFill="1" applyBorder="1" applyAlignment="1" applyProtection="1">
      <alignment horizontal="center" vertical="center" wrapText="1"/>
      <protection hidden="1"/>
    </xf>
    <xf numFmtId="1" fontId="20" fillId="3" borderId="13" xfId="2" applyFont="1" applyFill="1" applyBorder="1" applyAlignment="1" applyProtection="1">
      <alignment horizontal="center" vertical="center" wrapText="1"/>
      <protection hidden="1"/>
    </xf>
    <xf numFmtId="1" fontId="20" fillId="3" borderId="14" xfId="2" applyFont="1" applyFill="1" applyBorder="1" applyAlignment="1" applyProtection="1">
      <alignment horizontal="center" vertical="center" wrapText="1"/>
      <protection hidden="1"/>
    </xf>
    <xf numFmtId="1" fontId="33" fillId="0" borderId="0" xfId="2" applyFont="1" applyAlignment="1">
      <alignment vertical="center" wrapText="1"/>
    </xf>
    <xf numFmtId="1" fontId="20" fillId="3" borderId="11" xfId="2" applyFont="1" applyFill="1" applyBorder="1" applyAlignment="1" applyProtection="1">
      <alignment horizontal="center" vertical="center" wrapText="1"/>
      <protection hidden="1"/>
    </xf>
    <xf numFmtId="1" fontId="20" fillId="3" borderId="12" xfId="2" applyFont="1" applyFill="1" applyBorder="1" applyAlignment="1" applyProtection="1">
      <alignment horizontal="center" vertical="center" wrapText="1"/>
      <protection hidden="1"/>
    </xf>
    <xf numFmtId="1" fontId="20" fillId="3" borderId="16" xfId="2" applyFont="1" applyFill="1" applyBorder="1" applyAlignment="1" applyProtection="1">
      <alignment horizontal="center" vertical="center" wrapText="1"/>
      <protection hidden="1"/>
    </xf>
    <xf numFmtId="1" fontId="32" fillId="6" borderId="8" xfId="2" applyFont="1" applyFill="1" applyBorder="1" applyAlignment="1" applyProtection="1">
      <alignment horizontal="center" vertical="center" wrapText="1"/>
      <protection hidden="1"/>
    </xf>
    <xf numFmtId="1" fontId="32" fillId="6" borderId="9" xfId="2" applyFont="1" applyFill="1" applyBorder="1" applyAlignment="1" applyProtection="1">
      <alignment horizontal="center" vertical="center" wrapText="1"/>
      <protection hidden="1"/>
    </xf>
    <xf numFmtId="1" fontId="32" fillId="6" borderId="15" xfId="2" applyFont="1" applyFill="1" applyBorder="1" applyAlignment="1" applyProtection="1">
      <alignment horizontal="center" vertical="center" wrapText="1"/>
      <protection hidden="1"/>
    </xf>
    <xf numFmtId="1" fontId="32" fillId="6" borderId="4" xfId="2" applyFont="1" applyFill="1" applyBorder="1" applyAlignment="1" applyProtection="1">
      <alignment horizontal="center" vertical="center" wrapText="1"/>
      <protection hidden="1"/>
    </xf>
    <xf numFmtId="1" fontId="33" fillId="6" borderId="4" xfId="2" applyFont="1" applyFill="1" applyBorder="1" applyAlignment="1" applyProtection="1">
      <alignment horizontal="center" vertical="center" wrapText="1"/>
      <protection hidden="1"/>
    </xf>
    <xf numFmtId="1" fontId="32" fillId="6" borderId="16" xfId="2" applyFont="1" applyFill="1" applyBorder="1" applyAlignment="1" applyProtection="1">
      <alignment horizontal="center" vertical="center" wrapText="1"/>
      <protection hidden="1"/>
    </xf>
    <xf numFmtId="1" fontId="2" fillId="0" borderId="5" xfId="2" applyFont="1" applyBorder="1" applyAlignment="1" applyProtection="1">
      <alignment horizontal="left" vertical="center" wrapText="1"/>
      <protection hidden="1"/>
    </xf>
    <xf numFmtId="3" fontId="33" fillId="0" borderId="6" xfId="4" applyNumberFormat="1" applyFont="1" applyBorder="1" applyAlignment="1" applyProtection="1">
      <alignment vertical="center" wrapText="1"/>
      <protection hidden="1"/>
    </xf>
    <xf numFmtId="1" fontId="2" fillId="0" borderId="7" xfId="2" applyFont="1" applyBorder="1" applyAlignment="1" applyProtection="1">
      <alignment horizontal="left" vertical="center" wrapText="1"/>
      <protection hidden="1"/>
    </xf>
    <xf numFmtId="3" fontId="33" fillId="0" borderId="8" xfId="4" applyNumberFormat="1" applyFont="1" applyBorder="1" applyAlignment="1" applyProtection="1">
      <alignment vertical="center" wrapText="1"/>
      <protection hidden="1"/>
    </xf>
    <xf numFmtId="166" fontId="2" fillId="0" borderId="7" xfId="2" applyNumberFormat="1" applyFont="1" applyBorder="1" applyAlignment="1" applyProtection="1">
      <alignment horizontal="left" vertical="center" wrapText="1"/>
      <protection hidden="1"/>
    </xf>
    <xf numFmtId="1" fontId="31" fillId="0" borderId="7" xfId="2" applyFont="1" applyBorder="1" applyAlignment="1" applyProtection="1">
      <alignment horizontal="left" vertical="center" wrapText="1" indent="1"/>
      <protection hidden="1"/>
    </xf>
    <xf numFmtId="1" fontId="2" fillId="0" borderId="7" xfId="2" applyBorder="1" applyAlignment="1" applyProtection="1">
      <alignment vertical="center" wrapText="1"/>
      <protection hidden="1"/>
    </xf>
    <xf numFmtId="1" fontId="33" fillId="0" borderId="0" xfId="2" applyFont="1" applyAlignment="1" applyProtection="1">
      <alignment vertical="center" wrapText="1"/>
      <protection hidden="1"/>
    </xf>
    <xf numFmtId="1" fontId="2" fillId="11" borderId="7" xfId="2" applyFont="1" applyFill="1" applyBorder="1" applyAlignment="1" applyProtection="1">
      <alignment vertical="center" wrapText="1"/>
      <protection hidden="1"/>
    </xf>
    <xf numFmtId="3" fontId="33" fillId="11" borderId="8" xfId="4" applyNumberFormat="1" applyFont="1" applyFill="1" applyBorder="1" applyAlignment="1" applyProtection="1">
      <alignment vertical="center" wrapText="1"/>
      <protection hidden="1"/>
    </xf>
    <xf numFmtId="1" fontId="21" fillId="7" borderId="11" xfId="2" applyFont="1" applyFill="1" applyBorder="1" applyAlignment="1" applyProtection="1">
      <alignment horizontal="left" vertical="center" wrapText="1"/>
      <protection hidden="1"/>
    </xf>
    <xf numFmtId="3" fontId="32" fillId="7" borderId="9" xfId="4" applyNumberFormat="1" applyFont="1" applyFill="1" applyBorder="1" applyAlignment="1" applyProtection="1">
      <alignment vertical="center" wrapText="1"/>
      <protection hidden="1"/>
    </xf>
    <xf numFmtId="1" fontId="23" fillId="0" borderId="1" xfId="2" applyFont="1" applyBorder="1" applyAlignment="1" applyProtection="1">
      <alignment horizontal="left" vertical="center" wrapText="1"/>
      <protection hidden="1"/>
    </xf>
    <xf numFmtId="1" fontId="23" fillId="0" borderId="2" xfId="2" applyFont="1" applyBorder="1" applyAlignment="1" applyProtection="1">
      <alignment horizontal="left" vertical="center" wrapText="1"/>
      <protection hidden="1"/>
    </xf>
    <xf numFmtId="1" fontId="23" fillId="0" borderId="3" xfId="2" applyFont="1" applyBorder="1" applyAlignment="1" applyProtection="1">
      <alignment horizontal="left" vertical="center" wrapText="1"/>
      <protection hidden="1"/>
    </xf>
    <xf numFmtId="165" fontId="33" fillId="0" borderId="6" xfId="1" applyNumberFormat="1" applyFont="1" applyBorder="1" applyAlignment="1" applyProtection="1">
      <alignment vertical="center" wrapText="1"/>
      <protection hidden="1"/>
    </xf>
    <xf numFmtId="165" fontId="33" fillId="0" borderId="8" xfId="1" applyNumberFormat="1" applyFont="1" applyBorder="1" applyAlignment="1" applyProtection="1">
      <alignment vertical="center" wrapText="1"/>
      <protection hidden="1"/>
    </xf>
    <xf numFmtId="1" fontId="2" fillId="11" borderId="7" xfId="6" applyFont="1" applyFill="1" applyBorder="1" applyAlignment="1" applyProtection="1">
      <alignment vertical="center" wrapText="1"/>
      <protection hidden="1"/>
    </xf>
    <xf numFmtId="165" fontId="33" fillId="11" borderId="8" xfId="1" applyNumberFormat="1" applyFont="1" applyFill="1" applyBorder="1" applyAlignment="1" applyProtection="1">
      <alignment vertical="center" wrapText="1"/>
      <protection hidden="1"/>
    </xf>
    <xf numFmtId="165" fontId="32" fillId="7" borderId="9" xfId="1" applyNumberFormat="1" applyFont="1" applyFill="1" applyBorder="1" applyAlignment="1" applyProtection="1">
      <alignment vertical="center" wrapText="1"/>
      <protection hidden="1"/>
    </xf>
    <xf numFmtId="165" fontId="33" fillId="0" borderId="6" xfId="4" applyNumberFormat="1" applyFont="1" applyBorder="1" applyAlignment="1" applyProtection="1">
      <alignment vertical="center" wrapText="1"/>
      <protection hidden="1"/>
    </xf>
    <xf numFmtId="165" fontId="33" fillId="0" borderId="8" xfId="4" applyNumberFormat="1" applyFont="1" applyBorder="1" applyAlignment="1" applyProtection="1">
      <alignment vertical="center" wrapText="1"/>
      <protection hidden="1"/>
    </xf>
    <xf numFmtId="165" fontId="33" fillId="11" borderId="8" xfId="4" applyNumberFormat="1" applyFont="1" applyFill="1" applyBorder="1" applyAlignment="1" applyProtection="1">
      <alignment vertical="center" wrapText="1"/>
      <protection hidden="1"/>
    </xf>
    <xf numFmtId="165" fontId="33" fillId="7" borderId="8" xfId="4" applyNumberFormat="1" applyFont="1" applyFill="1" applyBorder="1" applyAlignment="1" applyProtection="1">
      <alignment vertical="center" wrapText="1"/>
      <protection hidden="1"/>
    </xf>
    <xf numFmtId="1" fontId="12" fillId="3" borderId="0" xfId="6" applyFont="1" applyFill="1" applyBorder="1" applyAlignment="1" applyProtection="1">
      <alignment horizontal="center" vertical="center" wrapText="1"/>
      <protection hidden="1"/>
    </xf>
    <xf numFmtId="49" fontId="32" fillId="10" borderId="9" xfId="6" applyNumberFormat="1" applyFont="1" applyFill="1" applyBorder="1" applyAlignment="1" applyProtection="1">
      <alignment horizontal="left" vertical="center" wrapText="1"/>
      <protection hidden="1"/>
    </xf>
    <xf numFmtId="165" fontId="21" fillId="10" borderId="9" xfId="1" applyNumberFormat="1" applyFont="1" applyFill="1" applyBorder="1" applyAlignment="1" applyProtection="1">
      <alignment vertical="center"/>
      <protection hidden="1"/>
    </xf>
    <xf numFmtId="165" fontId="21" fillId="11" borderId="9" xfId="1" applyNumberFormat="1" applyFont="1" applyFill="1" applyBorder="1" applyAlignment="1" applyProtection="1">
      <alignment vertical="center"/>
      <protection hidden="1"/>
    </xf>
    <xf numFmtId="1" fontId="33" fillId="0" borderId="0" xfId="6" applyFont="1" applyProtection="1">
      <alignment vertical="center"/>
      <protection hidden="1"/>
    </xf>
    <xf numFmtId="49" fontId="2" fillId="0" borderId="0" xfId="6" applyNumberFormat="1" applyFont="1" applyProtection="1">
      <alignment vertical="center"/>
      <protection hidden="1"/>
    </xf>
    <xf numFmtId="1" fontId="20" fillId="3" borderId="11" xfId="6" applyFont="1" applyFill="1" applyBorder="1" applyAlignment="1" applyProtection="1">
      <alignment horizontal="center" vertical="center" wrapText="1"/>
      <protection hidden="1"/>
    </xf>
    <xf numFmtId="1" fontId="20" fillId="3" borderId="12" xfId="6" applyFont="1" applyFill="1" applyBorder="1" applyAlignment="1" applyProtection="1">
      <alignment horizontal="center" vertical="center" wrapText="1"/>
      <protection hidden="1"/>
    </xf>
    <xf numFmtId="1" fontId="2" fillId="6" borderId="4" xfId="6" applyFill="1" applyBorder="1" applyAlignment="1" applyProtection="1">
      <alignment horizontal="center" vertical="center"/>
      <protection hidden="1"/>
    </xf>
    <xf numFmtId="0" fontId="32" fillId="6" borderId="4" xfId="6" applyNumberFormat="1" applyFont="1" applyFill="1" applyBorder="1" applyAlignment="1" applyProtection="1">
      <alignment horizontal="center" vertical="center" wrapText="1"/>
      <protection hidden="1"/>
    </xf>
    <xf numFmtId="17" fontId="33" fillId="0" borderId="8" xfId="6" applyNumberFormat="1" applyFont="1" applyFill="1" applyBorder="1" applyAlignment="1" applyProtection="1">
      <alignment horizontal="left" vertical="center"/>
      <protection hidden="1"/>
    </xf>
    <xf numFmtId="165" fontId="33" fillId="0" borderId="8" xfId="1" applyNumberFormat="1" applyFont="1" applyBorder="1" applyAlignment="1" applyProtection="1">
      <alignment horizontal="center" vertical="center"/>
      <protection hidden="1"/>
    </xf>
    <xf numFmtId="49" fontId="33" fillId="10" borderId="8" xfId="6" applyNumberFormat="1" applyFont="1" applyFill="1" applyBorder="1" applyAlignment="1" applyProtection="1">
      <alignment horizontal="center" vertical="center" wrapText="1"/>
      <protection hidden="1"/>
    </xf>
    <xf numFmtId="164" fontId="21" fillId="10" borderId="8" xfId="6" applyNumberFormat="1" applyFont="1" applyFill="1" applyBorder="1" applyProtection="1">
      <alignment vertical="center"/>
      <protection hidden="1"/>
    </xf>
    <xf numFmtId="165" fontId="21" fillId="10" borderId="8" xfId="4" applyNumberFormat="1" applyFont="1" applyFill="1" applyBorder="1" applyProtection="1">
      <alignment vertical="center"/>
      <protection hidden="1"/>
    </xf>
    <xf numFmtId="49" fontId="33" fillId="7" borderId="8" xfId="6" applyNumberFormat="1" applyFont="1" applyFill="1" applyBorder="1" applyAlignment="1" applyProtection="1">
      <alignment horizontal="left" vertical="center"/>
      <protection hidden="1"/>
    </xf>
    <xf numFmtId="165" fontId="21" fillId="7" borderId="8" xfId="4" applyNumberFormat="1" applyFont="1" applyFill="1" applyBorder="1" applyProtection="1">
      <alignment vertical="center"/>
      <protection hidden="1"/>
    </xf>
    <xf numFmtId="49" fontId="33" fillId="11" borderId="8" xfId="6" applyNumberFormat="1" applyFont="1" applyFill="1" applyBorder="1" applyAlignment="1" applyProtection="1">
      <alignment horizontal="left" vertical="center"/>
      <protection hidden="1"/>
    </xf>
    <xf numFmtId="164" fontId="21" fillId="11" borderId="8" xfId="6" applyNumberFormat="1" applyFont="1" applyFill="1" applyBorder="1" applyProtection="1">
      <alignment vertical="center"/>
      <protection hidden="1"/>
    </xf>
    <xf numFmtId="165" fontId="21" fillId="11" borderId="8" xfId="4" applyNumberFormat="1" applyFont="1" applyFill="1" applyBorder="1" applyProtection="1">
      <alignment vertical="center"/>
      <protection hidden="1"/>
    </xf>
    <xf numFmtId="165" fontId="2" fillId="0" borderId="8" xfId="4" applyNumberFormat="1" applyFont="1" applyBorder="1" applyAlignment="1" applyProtection="1">
      <alignment horizontal="center" vertical="center"/>
      <protection hidden="1"/>
    </xf>
    <xf numFmtId="165" fontId="21" fillId="11" borderId="8" xfId="4" applyNumberFormat="1" applyFont="1" applyFill="1" applyBorder="1" applyAlignment="1" applyProtection="1">
      <alignment horizontal="center" vertical="center"/>
      <protection hidden="1"/>
    </xf>
    <xf numFmtId="1" fontId="23" fillId="6" borderId="1" xfId="6" applyFont="1" applyFill="1" applyBorder="1" applyAlignment="1" applyProtection="1">
      <alignment horizontal="left" wrapText="1"/>
      <protection hidden="1"/>
    </xf>
    <xf numFmtId="1" fontId="23" fillId="6" borderId="2" xfId="6" applyFont="1" applyFill="1" applyBorder="1" applyAlignment="1" applyProtection="1">
      <alignment horizontal="left" wrapText="1"/>
      <protection hidden="1"/>
    </xf>
    <xf numFmtId="1" fontId="4" fillId="3" borderId="0" xfId="2" applyFont="1" applyFill="1" applyAlignment="1">
      <alignment horizontal="left" vertical="center" indent="1"/>
    </xf>
    <xf numFmtId="1" fontId="5" fillId="3" borderId="0" xfId="2" applyFont="1" applyFill="1">
      <alignment vertical="center"/>
    </xf>
    <xf numFmtId="1" fontId="2" fillId="2" borderId="0" xfId="2" applyFont="1" applyFill="1">
      <alignment vertical="center"/>
    </xf>
    <xf numFmtId="165" fontId="0" fillId="10" borderId="8" xfId="1" applyNumberFormat="1" applyFont="1" applyFill="1" applyBorder="1" applyAlignment="1">
      <alignment vertical="center"/>
    </xf>
    <xf numFmtId="165" fontId="0" fillId="7" borderId="8" xfId="1" applyNumberFormat="1" applyFont="1" applyFill="1" applyBorder="1"/>
    <xf numFmtId="165" fontId="0" fillId="11" borderId="8" xfId="1" applyNumberFormat="1" applyFont="1" applyFill="1" applyBorder="1"/>
    <xf numFmtId="10" fontId="0" fillId="0" borderId="8" xfId="1" applyNumberFormat="1" applyFont="1" applyBorder="1"/>
    <xf numFmtId="10" fontId="0" fillId="10" borderId="8" xfId="1" applyNumberFormat="1" applyFont="1" applyFill="1" applyBorder="1" applyAlignment="1">
      <alignment vertical="center"/>
    </xf>
    <xf numFmtId="10" fontId="0" fillId="7" borderId="8" xfId="1" applyNumberFormat="1" applyFont="1" applyFill="1" applyBorder="1"/>
    <xf numFmtId="10" fontId="0" fillId="11" borderId="8" xfId="1" applyNumberFormat="1" applyFont="1" applyFill="1" applyBorder="1"/>
    <xf numFmtId="17" fontId="21" fillId="6" borderId="4" xfId="2" applyNumberFormat="1" applyFont="1" applyFill="1" applyBorder="1" applyAlignment="1" applyProtection="1">
      <alignment horizontal="center" vertical="center" wrapText="1"/>
      <protection hidden="1"/>
    </xf>
    <xf numFmtId="49" fontId="21" fillId="6" borderId="4" xfId="2" applyNumberFormat="1" applyFont="1" applyFill="1" applyBorder="1" applyAlignment="1" applyProtection="1">
      <alignment horizontal="center" vertical="center" wrapText="1"/>
      <protection hidden="1"/>
    </xf>
    <xf numFmtId="1" fontId="2" fillId="0" borderId="9" xfId="2" applyFont="1" applyBorder="1" applyAlignment="1" applyProtection="1">
      <alignment horizontal="left"/>
      <protection hidden="1"/>
    </xf>
    <xf numFmtId="10" fontId="2" fillId="0" borderId="9" xfId="4" applyNumberFormat="1" applyFont="1" applyBorder="1" applyProtection="1">
      <alignment vertical="center"/>
      <protection hidden="1"/>
    </xf>
    <xf numFmtId="164" fontId="2" fillId="0" borderId="5" xfId="2" applyNumberFormat="1" applyFont="1" applyBorder="1" applyProtection="1">
      <alignment vertical="center"/>
      <protection hidden="1"/>
    </xf>
    <xf numFmtId="10" fontId="2" fillId="0" borderId="14" xfId="4" applyNumberFormat="1" applyFont="1" applyBorder="1" applyProtection="1">
      <alignment vertical="center"/>
      <protection hidden="1"/>
    </xf>
    <xf numFmtId="164" fontId="2" fillId="0" borderId="7" xfId="2" applyNumberFormat="1" applyFont="1" applyBorder="1" applyProtection="1">
      <alignment vertical="center"/>
      <protection hidden="1"/>
    </xf>
    <xf numFmtId="1" fontId="2" fillId="6" borderId="12" xfId="2" applyFont="1" applyFill="1" applyBorder="1" applyProtection="1">
      <alignment vertical="center"/>
      <protection hidden="1"/>
    </xf>
    <xf numFmtId="1" fontId="2" fillId="0" borderId="11" xfId="2" applyFont="1" applyBorder="1" applyAlignment="1" applyProtection="1">
      <alignment horizontal="left"/>
      <protection hidden="1"/>
    </xf>
    <xf numFmtId="1" fontId="2" fillId="0" borderId="0" xfId="2" applyFont="1" applyAlignment="1" applyProtection="1">
      <alignment vertical="center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33" fillId="10" borderId="8" xfId="6" applyNumberFormat="1" applyFont="1" applyFill="1" applyBorder="1" applyAlignment="1" applyProtection="1">
      <alignment horizontal="center" vertical="center" wrapText="1"/>
      <protection hidden="1"/>
    </xf>
    <xf numFmtId="165" fontId="21" fillId="10" borderId="8" xfId="4" applyNumberFormat="1" applyFont="1" applyFill="1" applyBorder="1" applyAlignment="1" applyProtection="1">
      <alignment vertical="center"/>
      <protection hidden="1"/>
    </xf>
    <xf numFmtId="4" fontId="0" fillId="0" borderId="8" xfId="0" applyNumberFormat="1" applyBorder="1" applyProtection="1">
      <protection hidden="1"/>
    </xf>
    <xf numFmtId="4" fontId="0" fillId="10" borderId="8" xfId="0" applyNumberFormat="1" applyFill="1" applyBorder="1" applyAlignment="1" applyProtection="1">
      <alignment vertical="center"/>
      <protection hidden="1"/>
    </xf>
    <xf numFmtId="4" fontId="0" fillId="0" borderId="0" xfId="0" applyNumberFormat="1" applyProtection="1">
      <protection hidden="1"/>
    </xf>
    <xf numFmtId="4" fontId="0" fillId="7" borderId="8" xfId="0" applyNumberFormat="1" applyFill="1" applyBorder="1" applyProtection="1">
      <protection hidden="1"/>
    </xf>
    <xf numFmtId="4" fontId="0" fillId="11" borderId="8" xfId="0" applyNumberFormat="1" applyFill="1" applyBorder="1" applyProtection="1">
      <protection hidden="1"/>
    </xf>
    <xf numFmtId="1" fontId="22" fillId="6" borderId="6" xfId="2" applyNumberFormat="1" applyFont="1" applyFill="1" applyBorder="1" applyAlignment="1" applyProtection="1">
      <alignment horizontal="center" vertical="center" wrapText="1"/>
      <protection hidden="1"/>
    </xf>
    <xf numFmtId="167" fontId="2" fillId="7" borderId="6" xfId="2" applyNumberFormat="1" applyFont="1" applyFill="1" applyBorder="1" applyAlignment="1" applyProtection="1">
      <alignment horizontal="center" vertical="center" wrapText="1"/>
      <protection hidden="1"/>
    </xf>
    <xf numFmtId="4" fontId="2" fillId="0" borderId="0" xfId="2" applyNumberFormat="1" applyFont="1">
      <alignment vertical="center"/>
    </xf>
    <xf numFmtId="167" fontId="2" fillId="0" borderId="8" xfId="2" applyNumberFormat="1" applyFont="1" applyBorder="1" applyAlignment="1" applyProtection="1">
      <alignment horizontal="center" vertical="center" wrapText="1"/>
      <protection hidden="1"/>
    </xf>
    <xf numFmtId="167" fontId="2" fillId="0" borderId="8" xfId="2" applyNumberFormat="1" applyFont="1" applyBorder="1" applyAlignment="1" applyProtection="1">
      <alignment horizontal="center" wrapText="1"/>
      <protection hidden="1"/>
    </xf>
    <xf numFmtId="1" fontId="2" fillId="0" borderId="16" xfId="2" applyFont="1" applyBorder="1" applyProtection="1">
      <alignment vertical="center"/>
      <protection hidden="1"/>
    </xf>
    <xf numFmtId="1" fontId="2" fillId="0" borderId="0" xfId="2" applyAlignment="1">
      <alignment vertical="center" wrapText="1"/>
    </xf>
    <xf numFmtId="1" fontId="32" fillId="6" borderId="4" xfId="2" applyNumberFormat="1" applyFont="1" applyFill="1" applyBorder="1" applyAlignment="1" applyProtection="1">
      <alignment horizontal="center" vertical="center" wrapText="1"/>
      <protection hidden="1"/>
    </xf>
    <xf numFmtId="1" fontId="2" fillId="6" borderId="13" xfId="2" applyFont="1" applyFill="1" applyBorder="1" applyAlignment="1" applyProtection="1">
      <alignment vertical="center" wrapText="1"/>
      <protection hidden="1"/>
    </xf>
    <xf numFmtId="1" fontId="2" fillId="6" borderId="2" xfId="2" applyFont="1" applyFill="1" applyBorder="1" applyAlignment="1" applyProtection="1">
      <alignment vertical="center" wrapText="1"/>
      <protection hidden="1"/>
    </xf>
    <xf numFmtId="1" fontId="2" fillId="6" borderId="14" xfId="2" applyFont="1" applyFill="1" applyBorder="1" applyAlignment="1" applyProtection="1">
      <alignment vertical="center" wrapText="1"/>
      <protection hidden="1"/>
    </xf>
    <xf numFmtId="1" fontId="2" fillId="7" borderId="5" xfId="2" applyFont="1" applyFill="1" applyBorder="1" applyAlignment="1" applyProtection="1">
      <alignment horizontal="left" wrapText="1"/>
      <protection hidden="1"/>
    </xf>
    <xf numFmtId="10" fontId="2" fillId="7" borderId="6" xfId="4" applyNumberFormat="1" applyFont="1" applyFill="1" applyBorder="1" applyAlignment="1" applyProtection="1">
      <alignment horizontal="center" vertical="center" wrapText="1"/>
      <protection hidden="1"/>
    </xf>
    <xf numFmtId="1" fontId="2" fillId="0" borderId="7" xfId="2" applyFont="1" applyBorder="1" applyAlignment="1" applyProtection="1">
      <alignment horizontal="left" wrapText="1"/>
      <protection hidden="1"/>
    </xf>
    <xf numFmtId="10" fontId="2" fillId="0" borderId="8" xfId="4" applyNumberFormat="1" applyFont="1" applyBorder="1" applyAlignment="1" applyProtection="1">
      <alignment horizontal="center" vertical="center" wrapText="1"/>
      <protection hidden="1"/>
    </xf>
    <xf numFmtId="4" fontId="2" fillId="0" borderId="0" xfId="2" applyNumberFormat="1" applyFont="1" applyAlignment="1">
      <alignment vertical="center" wrapText="1"/>
    </xf>
    <xf numFmtId="1" fontId="2" fillId="0" borderId="11" xfId="2" applyFont="1" applyBorder="1" applyAlignment="1" applyProtection="1">
      <alignment horizontal="left" wrapText="1"/>
      <protection hidden="1"/>
    </xf>
    <xf numFmtId="167" fontId="2" fillId="0" borderId="9" xfId="2" applyNumberFormat="1" applyFont="1" applyBorder="1" applyAlignment="1" applyProtection="1">
      <alignment horizontal="center" vertical="center" wrapText="1"/>
      <protection hidden="1"/>
    </xf>
    <xf numFmtId="10" fontId="2" fillId="0" borderId="9" xfId="4" applyNumberFormat="1" applyFont="1" applyBorder="1" applyAlignment="1" applyProtection="1">
      <alignment horizontal="center" vertical="center" wrapText="1"/>
      <protection hidden="1"/>
    </xf>
    <xf numFmtId="1" fontId="2" fillId="6" borderId="13" xfId="2" applyFont="1" applyFill="1" applyBorder="1" applyAlignment="1" applyProtection="1">
      <alignment horizontal="center" vertical="center" wrapText="1"/>
      <protection hidden="1"/>
    </xf>
    <xf numFmtId="10" fontId="2" fillId="6" borderId="15" xfId="2" applyNumberFormat="1" applyFont="1" applyFill="1" applyBorder="1" applyAlignment="1" applyProtection="1">
      <alignment horizontal="center" vertical="center" wrapText="1"/>
      <protection hidden="1"/>
    </xf>
    <xf numFmtId="167" fontId="2" fillId="0" borderId="9" xfId="2" applyNumberFormat="1" applyFont="1" applyBorder="1" applyAlignment="1" applyProtection="1">
      <alignment horizontal="center" wrapText="1"/>
      <protection hidden="1"/>
    </xf>
    <xf numFmtId="1" fontId="23" fillId="0" borderId="4" xfId="2" applyFont="1" applyBorder="1" applyAlignment="1" applyProtection="1">
      <alignment wrapText="1"/>
      <protection hidden="1"/>
    </xf>
    <xf numFmtId="1" fontId="34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34" fillId="0" borderId="0" xfId="2" applyFont="1" applyBorder="1" applyAlignment="1">
      <alignment vertical="center" wrapText="1"/>
    </xf>
    <xf numFmtId="1" fontId="21" fillId="6" borderId="1" xfId="2" applyFont="1" applyFill="1" applyBorder="1" applyAlignment="1" applyProtection="1">
      <alignment horizontal="center" vertical="center" wrapText="1"/>
      <protection hidden="1"/>
    </xf>
    <xf numFmtId="1" fontId="21" fillId="6" borderId="1" xfId="2" applyFont="1" applyFill="1" applyBorder="1" applyAlignment="1" applyProtection="1">
      <alignment vertical="center" wrapText="1"/>
      <protection hidden="1"/>
    </xf>
    <xf numFmtId="1" fontId="2" fillId="6" borderId="3" xfId="2" applyFont="1" applyFill="1" applyBorder="1" applyAlignment="1" applyProtection="1">
      <alignment vertical="center" wrapText="1"/>
      <protection hidden="1"/>
    </xf>
    <xf numFmtId="1" fontId="2" fillId="7" borderId="5" xfId="2" applyFont="1" applyFill="1" applyBorder="1" applyAlignment="1" applyProtection="1">
      <alignment horizontal="left" vertical="center" wrapText="1"/>
      <protection hidden="1"/>
    </xf>
    <xf numFmtId="10" fontId="2" fillId="7" borderId="6" xfId="1" applyNumberFormat="1" applyFont="1" applyFill="1" applyBorder="1" applyAlignment="1" applyProtection="1">
      <alignment horizontal="center" vertical="center" wrapText="1"/>
      <protection hidden="1"/>
    </xf>
    <xf numFmtId="1" fontId="2" fillId="6" borderId="2" xfId="2" applyFont="1" applyFill="1" applyBorder="1" applyAlignment="1" applyProtection="1">
      <alignment horizontal="center" vertical="center" wrapText="1"/>
      <protection hidden="1"/>
    </xf>
    <xf numFmtId="10" fontId="2" fillId="6" borderId="3" xfId="2" applyNumberFormat="1" applyFont="1" applyFill="1" applyBorder="1" applyAlignment="1" applyProtection="1">
      <alignment horizontal="center" vertical="center" wrapText="1"/>
      <protection hidden="1"/>
    </xf>
    <xf numFmtId="1" fontId="2" fillId="0" borderId="8" xfId="2" applyFont="1" applyBorder="1" applyAlignment="1" applyProtection="1">
      <alignment horizontal="left" vertical="center" wrapText="1"/>
      <protection hidden="1"/>
    </xf>
    <xf numFmtId="1" fontId="2" fillId="0" borderId="1" xfId="2" applyFont="1" applyBorder="1" applyAlignment="1" applyProtection="1">
      <alignment horizontal="left" vertical="center" wrapText="1"/>
      <protection hidden="1"/>
    </xf>
    <xf numFmtId="167" fontId="2" fillId="0" borderId="4" xfId="2" applyNumberFormat="1" applyFont="1" applyBorder="1" applyAlignment="1" applyProtection="1">
      <alignment horizontal="center" vertical="center" wrapText="1"/>
      <protection hidden="1"/>
    </xf>
    <xf numFmtId="10" fontId="2" fillId="0" borderId="4" xfId="4" applyNumberFormat="1" applyFont="1" applyBorder="1" applyAlignment="1" applyProtection="1">
      <alignment horizontal="center" vertical="center" wrapText="1"/>
      <protection hidden="1"/>
    </xf>
    <xf numFmtId="1" fontId="23" fillId="0" borderId="1" xfId="2" applyFont="1" applyBorder="1" applyAlignment="1" applyProtection="1">
      <alignment vertical="center" wrapText="1"/>
      <protection hidden="1"/>
    </xf>
    <xf numFmtId="1" fontId="23" fillId="0" borderId="2" xfId="2" applyFont="1" applyBorder="1" applyAlignment="1" applyProtection="1">
      <alignment vertical="center" wrapText="1"/>
      <protection hidden="1"/>
    </xf>
    <xf numFmtId="1" fontId="23" fillId="0" borderId="3" xfId="2" applyFont="1" applyBorder="1" applyAlignment="1" applyProtection="1">
      <alignment vertical="center" wrapText="1"/>
      <protection hidden="1"/>
    </xf>
    <xf numFmtId="4" fontId="0" fillId="0" borderId="8" xfId="0" applyNumberFormat="1" applyBorder="1"/>
    <xf numFmtId="10" fontId="33" fillId="0" borderId="8" xfId="1" applyNumberFormat="1" applyFont="1" applyBorder="1" applyAlignment="1" applyProtection="1">
      <alignment horizontal="center" vertical="center"/>
      <protection hidden="1"/>
    </xf>
    <xf numFmtId="4" fontId="0" fillId="10" borderId="8" xfId="0" applyNumberFormat="1" applyFill="1" applyBorder="1" applyAlignment="1">
      <alignment vertical="center"/>
    </xf>
    <xf numFmtId="10" fontId="21" fillId="10" borderId="8" xfId="4" applyNumberFormat="1" applyFont="1" applyFill="1" applyBorder="1" applyAlignment="1" applyProtection="1">
      <alignment vertical="center"/>
      <protection hidden="1"/>
    </xf>
    <xf numFmtId="4" fontId="0" fillId="7" borderId="8" xfId="0" applyNumberFormat="1" applyFill="1" applyBorder="1" applyAlignment="1">
      <alignment vertical="center"/>
    </xf>
    <xf numFmtId="10" fontId="21" fillId="7" borderId="8" xfId="4" applyNumberFormat="1" applyFont="1" applyFill="1" applyBorder="1" applyProtection="1">
      <alignment vertical="center"/>
      <protection hidden="1"/>
    </xf>
    <xf numFmtId="4" fontId="0" fillId="11" borderId="8" xfId="0" applyNumberFormat="1" applyFill="1" applyBorder="1" applyAlignment="1">
      <alignment vertical="center"/>
    </xf>
    <xf numFmtId="10" fontId="21" fillId="11" borderId="8" xfId="4" applyNumberFormat="1" applyFont="1" applyFill="1" applyBorder="1" applyProtection="1">
      <alignment vertical="center"/>
      <protection hidden="1"/>
    </xf>
    <xf numFmtId="10" fontId="2" fillId="0" borderId="8" xfId="4" applyNumberFormat="1" applyFont="1" applyBorder="1" applyAlignment="1" applyProtection="1">
      <alignment horizontal="center" vertical="center"/>
      <protection hidden="1"/>
    </xf>
    <xf numFmtId="10" fontId="21" fillId="11" borderId="8" xfId="4" applyNumberFormat="1" applyFont="1" applyFill="1" applyBorder="1" applyAlignment="1" applyProtection="1">
      <alignment horizontal="center" vertical="center"/>
      <protection hidden="1"/>
    </xf>
    <xf numFmtId="1" fontId="22" fillId="6" borderId="4" xfId="2" applyNumberFormat="1" applyFont="1" applyFill="1" applyBorder="1" applyAlignment="1" applyProtection="1">
      <alignment horizontal="center" vertical="center" wrapText="1"/>
      <protection hidden="1"/>
    </xf>
    <xf numFmtId="167" fontId="2" fillId="7" borderId="6" xfId="2" applyNumberFormat="1" applyFont="1" applyFill="1" applyBorder="1" applyAlignment="1" applyProtection="1">
      <alignment horizontal="center" vertical="center"/>
      <protection hidden="1"/>
    </xf>
    <xf numFmtId="167" fontId="2" fillId="7" borderId="6" xfId="4" applyNumberFormat="1" applyFont="1" applyFill="1" applyBorder="1" applyAlignment="1" applyProtection="1">
      <alignment horizontal="center" vertical="center"/>
      <protection hidden="1"/>
    </xf>
    <xf numFmtId="167" fontId="2" fillId="0" borderId="8" xfId="2" applyNumberFormat="1" applyFont="1" applyBorder="1" applyAlignment="1" applyProtection="1">
      <alignment horizontal="center" vertical="center"/>
      <protection hidden="1"/>
    </xf>
    <xf numFmtId="167" fontId="2" fillId="0" borderId="8" xfId="4" applyNumberFormat="1" applyFont="1" applyBorder="1" applyAlignment="1" applyProtection="1">
      <alignment horizontal="center" vertical="center"/>
      <protection hidden="1"/>
    </xf>
    <xf numFmtId="167" fontId="2" fillId="0" borderId="9" xfId="2" applyNumberFormat="1" applyFont="1" applyBorder="1" applyAlignment="1" applyProtection="1">
      <alignment horizontal="center" vertical="center"/>
      <protection hidden="1"/>
    </xf>
    <xf numFmtId="167" fontId="2" fillId="0" borderId="9" xfId="4" applyNumberFormat="1" applyFont="1" applyBorder="1" applyAlignment="1" applyProtection="1">
      <alignment horizontal="center" vertical="center"/>
      <protection hidden="1"/>
    </xf>
    <xf numFmtId="1" fontId="2" fillId="6" borderId="3" xfId="2" applyFont="1" applyFill="1" applyBorder="1" applyAlignment="1" applyProtection="1">
      <alignment horizontal="center" vertical="center"/>
      <protection hidden="1"/>
    </xf>
    <xf numFmtId="1" fontId="27" fillId="3" borderId="1" xfId="2" applyFont="1" applyFill="1" applyBorder="1" applyAlignment="1" applyProtection="1">
      <alignment horizontal="center" vertical="center" wrapText="1"/>
      <protection hidden="1"/>
    </xf>
    <xf numFmtId="1" fontId="27" fillId="3" borderId="2" xfId="2" applyFont="1" applyFill="1" applyBorder="1" applyAlignment="1" applyProtection="1">
      <alignment horizontal="center" vertical="center" wrapText="1"/>
      <protection hidden="1"/>
    </xf>
    <xf numFmtId="1" fontId="27" fillId="3" borderId="3" xfId="2" applyFont="1" applyFill="1" applyBorder="1" applyAlignment="1" applyProtection="1">
      <alignment horizontal="center" vertical="center" wrapText="1"/>
      <protection hidden="1"/>
    </xf>
    <xf numFmtId="167" fontId="2" fillId="7" borderId="6" xfId="4" applyNumberFormat="1" applyFont="1" applyFill="1" applyBorder="1" applyProtection="1">
      <alignment vertical="center"/>
      <protection hidden="1"/>
    </xf>
    <xf numFmtId="167" fontId="2" fillId="0" borderId="8" xfId="4" applyNumberFormat="1" applyFont="1" applyBorder="1" applyProtection="1">
      <alignment vertical="center"/>
      <protection hidden="1"/>
    </xf>
    <xf numFmtId="167" fontId="2" fillId="0" borderId="9" xfId="4" applyNumberFormat="1" applyFont="1" applyBorder="1" applyProtection="1">
      <alignment vertical="center"/>
      <protection hidden="1"/>
    </xf>
    <xf numFmtId="2" fontId="2" fillId="0" borderId="8" xfId="4" applyNumberFormat="1" applyFont="1" applyBorder="1" applyProtection="1">
      <alignment vertical="center"/>
      <protection hidden="1"/>
    </xf>
    <xf numFmtId="2" fontId="33" fillId="0" borderId="8" xfId="1" applyNumberFormat="1" applyFont="1" applyBorder="1" applyAlignment="1" applyProtection="1">
      <alignment horizontal="center" vertical="center"/>
      <protection hidden="1"/>
    </xf>
    <xf numFmtId="2" fontId="21" fillId="10" borderId="8" xfId="4" applyNumberFormat="1" applyFont="1" applyFill="1" applyBorder="1" applyAlignment="1" applyProtection="1">
      <alignment vertical="center"/>
      <protection hidden="1"/>
    </xf>
    <xf numFmtId="2" fontId="21" fillId="10" borderId="8" xfId="4" applyNumberFormat="1" applyFont="1" applyFill="1" applyBorder="1" applyAlignment="1" applyProtection="1">
      <alignment horizontal="center" vertical="center"/>
      <protection hidden="1"/>
    </xf>
    <xf numFmtId="2" fontId="21" fillId="7" borderId="8" xfId="4" applyNumberFormat="1" applyFont="1" applyFill="1" applyBorder="1" applyProtection="1">
      <alignment vertical="center"/>
      <protection hidden="1"/>
    </xf>
    <xf numFmtId="2" fontId="21" fillId="11" borderId="8" xfId="4" applyNumberFormat="1" applyFont="1" applyFill="1" applyBorder="1" applyProtection="1">
      <alignment vertical="center"/>
      <protection hidden="1"/>
    </xf>
    <xf numFmtId="1" fontId="4" fillId="3" borderId="0" xfId="2" applyFont="1" applyFill="1" applyAlignment="1" applyProtection="1">
      <alignment horizontal="left" vertical="center" indent="1"/>
      <protection hidden="1"/>
    </xf>
    <xf numFmtId="1" fontId="8" fillId="2" borderId="0" xfId="2" applyFont="1" applyFill="1" applyProtection="1">
      <alignment vertical="center"/>
      <protection hidden="1"/>
    </xf>
    <xf numFmtId="1" fontId="2" fillId="2" borderId="0" xfId="2" applyFill="1" applyProtection="1">
      <alignment vertical="center"/>
      <protection hidden="1"/>
    </xf>
    <xf numFmtId="1" fontId="12" fillId="4" borderId="0" xfId="2" applyFont="1" applyFill="1" applyAlignment="1" applyProtection="1">
      <alignment horizontal="left" vertical="center" indent="1"/>
      <protection hidden="1"/>
    </xf>
    <xf numFmtId="1" fontId="5" fillId="4" borderId="0" xfId="2" applyFont="1" applyFill="1" applyProtection="1">
      <alignment vertical="center"/>
      <protection hidden="1"/>
    </xf>
    <xf numFmtId="3" fontId="14" fillId="2" borderId="0" xfId="3" applyNumberFormat="1" applyFont="1" applyFill="1" applyAlignment="1" applyProtection="1">
      <alignment vertical="center"/>
      <protection hidden="1"/>
    </xf>
    <xf numFmtId="3" fontId="15" fillId="2" borderId="0" xfId="3" applyNumberFormat="1" applyFont="1" applyFill="1" applyAlignment="1" applyProtection="1">
      <alignment vertical="center"/>
      <protection hidden="1"/>
    </xf>
    <xf numFmtId="1" fontId="2" fillId="2" borderId="0" xfId="2" applyFont="1" applyFill="1" applyProtection="1">
      <alignment vertical="center"/>
      <protection hidden="1"/>
    </xf>
    <xf numFmtId="164" fontId="2" fillId="7" borderId="6" xfId="2" applyNumberFormat="1" applyFont="1" applyFill="1" applyBorder="1" applyAlignment="1" applyProtection="1">
      <alignment horizontal="right" vertical="center"/>
      <protection hidden="1"/>
    </xf>
    <xf numFmtId="165" fontId="2" fillId="7" borderId="6" xfId="4" applyNumberFormat="1" applyFont="1" applyFill="1" applyBorder="1" applyAlignment="1" applyProtection="1">
      <alignment horizontal="right" vertical="center"/>
      <protection hidden="1"/>
    </xf>
    <xf numFmtId="10" fontId="2" fillId="7" borderId="6" xfId="4" applyNumberFormat="1" applyFont="1" applyFill="1" applyBorder="1" applyAlignment="1" applyProtection="1">
      <alignment horizontal="right" vertical="center"/>
      <protection hidden="1"/>
    </xf>
    <xf numFmtId="164" fontId="2" fillId="7" borderId="8" xfId="2" applyNumberFormat="1" applyFont="1" applyFill="1" applyBorder="1" applyAlignment="1" applyProtection="1">
      <alignment horizontal="right" vertical="center"/>
      <protection hidden="1"/>
    </xf>
    <xf numFmtId="165" fontId="2" fillId="7" borderId="8" xfId="4" applyNumberFormat="1" applyFont="1" applyFill="1" applyBorder="1" applyAlignment="1" applyProtection="1">
      <alignment horizontal="right" vertical="center"/>
      <protection hidden="1"/>
    </xf>
    <xf numFmtId="10" fontId="2" fillId="7" borderId="8" xfId="4" applyNumberFormat="1" applyFont="1" applyFill="1" applyBorder="1" applyAlignment="1" applyProtection="1">
      <alignment horizontal="right" vertical="center"/>
      <protection hidden="1"/>
    </xf>
    <xf numFmtId="1" fontId="2" fillId="7" borderId="9" xfId="2" applyFont="1" applyFill="1" applyBorder="1" applyAlignment="1" applyProtection="1">
      <alignment horizontal="left"/>
      <protection hidden="1"/>
    </xf>
    <xf numFmtId="164" fontId="2" fillId="7" borderId="9" xfId="2" applyNumberFormat="1" applyFont="1" applyFill="1" applyBorder="1" applyAlignment="1" applyProtection="1">
      <alignment horizontal="right" vertical="center"/>
      <protection hidden="1"/>
    </xf>
    <xf numFmtId="165" fontId="2" fillId="7" borderId="9" xfId="4" applyNumberFormat="1" applyFont="1" applyFill="1" applyBorder="1" applyAlignment="1" applyProtection="1">
      <alignment horizontal="right" vertical="center"/>
      <protection hidden="1"/>
    </xf>
    <xf numFmtId="10" fontId="2" fillId="7" borderId="9" xfId="4" applyNumberFormat="1" applyFont="1" applyFill="1" applyBorder="1" applyAlignment="1" applyProtection="1">
      <alignment horizontal="right" vertical="center"/>
      <protection hidden="1"/>
    </xf>
    <xf numFmtId="1" fontId="2" fillId="6" borderId="2" xfId="2" applyFont="1" applyFill="1" applyBorder="1" applyAlignment="1" applyProtection="1">
      <alignment horizontal="right" vertical="center"/>
      <protection hidden="1"/>
    </xf>
    <xf numFmtId="1" fontId="2" fillId="6" borderId="3" xfId="2" applyFont="1" applyFill="1" applyBorder="1" applyAlignment="1" applyProtection="1">
      <alignment horizontal="right" vertical="center"/>
      <protection hidden="1"/>
    </xf>
    <xf numFmtId="164" fontId="2" fillId="0" borderId="6" xfId="2" applyNumberFormat="1" applyFont="1" applyBorder="1" applyAlignment="1" applyProtection="1">
      <alignment horizontal="right" vertical="center"/>
      <protection hidden="1"/>
    </xf>
    <xf numFmtId="165" fontId="2" fillId="0" borderId="6" xfId="4" applyNumberFormat="1" applyFont="1" applyBorder="1" applyAlignment="1" applyProtection="1">
      <alignment horizontal="right" vertical="center"/>
      <protection hidden="1"/>
    </xf>
    <xf numFmtId="10" fontId="2" fillId="0" borderId="14" xfId="4" applyNumberFormat="1" applyFont="1" applyBorder="1" applyAlignment="1" applyProtection="1">
      <alignment horizontal="right" vertical="center"/>
      <protection hidden="1"/>
    </xf>
    <xf numFmtId="164" fontId="2" fillId="0" borderId="8" xfId="2" applyNumberFormat="1" applyFont="1" applyBorder="1" applyAlignment="1" applyProtection="1">
      <alignment horizontal="right" vertical="center"/>
      <protection hidden="1"/>
    </xf>
    <xf numFmtId="165" fontId="2" fillId="0" borderId="8" xfId="4" applyNumberFormat="1" applyFont="1" applyBorder="1" applyAlignment="1" applyProtection="1">
      <alignment horizontal="right" vertical="center"/>
      <protection hidden="1"/>
    </xf>
    <xf numFmtId="10" fontId="2" fillId="0" borderId="15" xfId="4" applyNumberFormat="1" applyFont="1" applyBorder="1" applyAlignment="1" applyProtection="1">
      <alignment horizontal="right" vertical="center"/>
      <protection hidden="1"/>
    </xf>
    <xf numFmtId="164" fontId="2" fillId="0" borderId="9" xfId="2" applyNumberFormat="1" applyFont="1" applyBorder="1" applyAlignment="1" applyProtection="1">
      <alignment horizontal="right" vertical="center"/>
      <protection hidden="1"/>
    </xf>
    <xf numFmtId="165" fontId="2" fillId="0" borderId="9" xfId="4" applyNumberFormat="1" applyFont="1" applyBorder="1" applyAlignment="1" applyProtection="1">
      <alignment horizontal="right" vertical="center"/>
      <protection hidden="1"/>
    </xf>
    <xf numFmtId="10" fontId="2" fillId="0" borderId="6" xfId="4" applyNumberFormat="1" applyFont="1" applyBorder="1" applyAlignment="1" applyProtection="1">
      <alignment horizontal="right" vertical="center"/>
      <protection hidden="1"/>
    </xf>
    <xf numFmtId="10" fontId="2" fillId="0" borderId="8" xfId="4" applyNumberFormat="1" applyFont="1" applyBorder="1" applyAlignment="1" applyProtection="1">
      <alignment horizontal="right" vertical="center"/>
      <protection hidden="1"/>
    </xf>
    <xf numFmtId="1" fontId="12" fillId="3" borderId="1" xfId="2" applyFont="1" applyFill="1" applyBorder="1" applyAlignment="1" applyProtection="1">
      <alignment horizontal="center" vertical="center" wrapText="1"/>
      <protection hidden="1"/>
    </xf>
    <xf numFmtId="1" fontId="12" fillId="3" borderId="2" xfId="2" applyFont="1" applyFill="1" applyBorder="1" applyAlignment="1" applyProtection="1">
      <alignment horizontal="center" vertical="center" wrapText="1"/>
      <protection hidden="1"/>
    </xf>
    <xf numFmtId="1" fontId="12" fillId="3" borderId="3" xfId="2" applyFont="1" applyFill="1" applyBorder="1" applyAlignment="1" applyProtection="1">
      <alignment horizontal="center" vertical="center" wrapText="1"/>
      <protection hidden="1"/>
    </xf>
    <xf numFmtId="165" fontId="2" fillId="6" borderId="13" xfId="2" applyNumberFormat="1" applyFont="1" applyFill="1" applyBorder="1" applyProtection="1">
      <alignment vertical="center"/>
      <protection hidden="1"/>
    </xf>
    <xf numFmtId="165" fontId="2" fillId="6" borderId="14" xfId="2" applyNumberFormat="1" applyFont="1" applyFill="1" applyBorder="1" applyProtection="1">
      <alignment vertical="center"/>
      <protection hidden="1"/>
    </xf>
    <xf numFmtId="164" fontId="2" fillId="0" borderId="13" xfId="2" applyNumberFormat="1" applyFont="1" applyBorder="1" applyProtection="1">
      <alignment vertical="center"/>
      <protection hidden="1"/>
    </xf>
    <xf numFmtId="165" fontId="2" fillId="0" borderId="14" xfId="4" applyNumberFormat="1" applyFont="1" applyBorder="1" applyProtection="1">
      <alignment vertical="center"/>
      <protection hidden="1"/>
    </xf>
    <xf numFmtId="164" fontId="2" fillId="0" borderId="0" xfId="2" applyNumberFormat="1" applyFont="1" applyBorder="1" applyProtection="1">
      <alignment vertical="center"/>
      <protection hidden="1"/>
    </xf>
    <xf numFmtId="165" fontId="2" fillId="0" borderId="15" xfId="4" applyNumberFormat="1" applyFont="1" applyBorder="1" applyProtection="1">
      <alignment vertical="center"/>
      <protection hidden="1"/>
    </xf>
    <xf numFmtId="165" fontId="2" fillId="6" borderId="2" xfId="2" applyNumberFormat="1" applyFont="1" applyFill="1" applyBorder="1" applyProtection="1">
      <alignment vertical="center"/>
      <protection hidden="1"/>
    </xf>
    <xf numFmtId="165" fontId="2" fillId="6" borderId="3" xfId="2" applyNumberFormat="1" applyFont="1" applyFill="1" applyBorder="1" applyProtection="1">
      <alignment vertical="center"/>
      <protection hidden="1"/>
    </xf>
    <xf numFmtId="1" fontId="23" fillId="0" borderId="1" xfId="2" applyFont="1" applyBorder="1" applyAlignment="1" applyProtection="1">
      <alignment horizontal="left"/>
      <protection hidden="1"/>
    </xf>
    <xf numFmtId="1" fontId="23" fillId="0" borderId="2" xfId="2" applyFont="1" applyBorder="1" applyAlignment="1" applyProtection="1">
      <alignment horizontal="left"/>
      <protection hidden="1"/>
    </xf>
    <xf numFmtId="1" fontId="23" fillId="0" borderId="3" xfId="2" applyFont="1" applyBorder="1" applyAlignment="1" applyProtection="1">
      <alignment horizontal="left"/>
      <protection hidden="1"/>
    </xf>
    <xf numFmtId="164" fontId="2" fillId="0" borderId="8" xfId="2" applyNumberFormat="1" applyFont="1" applyBorder="1" applyAlignment="1" applyProtection="1">
      <alignment horizontal="right"/>
      <protection hidden="1"/>
    </xf>
    <xf numFmtId="1" fontId="23" fillId="0" borderId="9" xfId="2" applyFont="1" applyBorder="1" applyAlignment="1" applyProtection="1">
      <alignment wrapText="1"/>
      <protection hidden="1"/>
    </xf>
    <xf numFmtId="167" fontId="2" fillId="7" borderId="6" xfId="2" applyNumberFormat="1" applyFont="1" applyFill="1" applyBorder="1" applyProtection="1">
      <alignment vertical="center"/>
      <protection hidden="1"/>
    </xf>
    <xf numFmtId="10" fontId="2" fillId="6" borderId="14" xfId="2" applyNumberFormat="1" applyFont="1" applyFill="1" applyBorder="1" applyProtection="1">
      <alignment vertical="center"/>
      <protection hidden="1"/>
    </xf>
    <xf numFmtId="167" fontId="2" fillId="0" borderId="6" xfId="2" applyNumberFormat="1" applyFont="1" applyBorder="1" applyProtection="1">
      <alignment vertical="center"/>
      <protection hidden="1"/>
    </xf>
    <xf numFmtId="167" fontId="2" fillId="0" borderId="8" xfId="2" applyNumberFormat="1" applyFont="1" applyBorder="1" applyProtection="1">
      <alignment vertical="center"/>
      <protection hidden="1"/>
    </xf>
    <xf numFmtId="167" fontId="2" fillId="0" borderId="9" xfId="2" applyNumberFormat="1" applyFont="1" applyBorder="1" applyProtection="1">
      <alignment vertical="center"/>
      <protection hidden="1"/>
    </xf>
    <xf numFmtId="10" fontId="2" fillId="6" borderId="3" xfId="2" applyNumberFormat="1" applyFont="1" applyFill="1" applyBorder="1" applyProtection="1">
      <alignment vertical="center"/>
      <protection hidden="1"/>
    </xf>
    <xf numFmtId="10" fontId="2" fillId="0" borderId="9" xfId="4" applyNumberFormat="1" applyFont="1" applyBorder="1" applyAlignment="1" applyProtection="1">
      <alignment horizontal="right" vertical="center"/>
      <protection hidden="1"/>
    </xf>
    <xf numFmtId="2" fontId="2" fillId="7" borderId="6" xfId="1" applyNumberFormat="1" applyFont="1" applyFill="1" applyBorder="1" applyAlignment="1" applyProtection="1">
      <alignment vertical="center"/>
      <protection hidden="1"/>
    </xf>
    <xf numFmtId="2" fontId="2" fillId="7" borderId="6" xfId="4" applyNumberFormat="1" applyFont="1" applyFill="1" applyBorder="1" applyProtection="1">
      <alignment vertical="center"/>
      <protection hidden="1"/>
    </xf>
    <xf numFmtId="2" fontId="2" fillId="6" borderId="14" xfId="1" applyNumberFormat="1" applyFont="1" applyFill="1" applyBorder="1" applyAlignment="1" applyProtection="1">
      <alignment vertical="center"/>
      <protection hidden="1"/>
    </xf>
    <xf numFmtId="2" fontId="2" fillId="0" borderId="6" xfId="1" applyNumberFormat="1" applyFont="1" applyBorder="1" applyAlignment="1" applyProtection="1">
      <alignment vertical="center"/>
      <protection hidden="1"/>
    </xf>
    <xf numFmtId="2" fontId="2" fillId="0" borderId="6" xfId="4" applyNumberFormat="1" applyFont="1" applyBorder="1" applyProtection="1">
      <alignment vertical="center"/>
      <protection hidden="1"/>
    </xf>
    <xf numFmtId="2" fontId="2" fillId="0" borderId="8" xfId="1" applyNumberFormat="1" applyFont="1" applyBorder="1" applyAlignment="1" applyProtection="1">
      <alignment vertical="center"/>
      <protection hidden="1"/>
    </xf>
    <xf numFmtId="2" fontId="2" fillId="0" borderId="9" xfId="1" applyNumberFormat="1" applyFont="1" applyBorder="1" applyAlignment="1" applyProtection="1">
      <alignment vertical="center"/>
      <protection hidden="1"/>
    </xf>
    <xf numFmtId="2" fontId="2" fillId="0" borderId="9" xfId="4" applyNumberFormat="1" applyFont="1" applyBorder="1" applyProtection="1">
      <alignment vertical="center"/>
      <protection hidden="1"/>
    </xf>
    <xf numFmtId="2" fontId="2" fillId="6" borderId="3" xfId="1" applyNumberFormat="1" applyFont="1" applyFill="1" applyBorder="1" applyAlignment="1" applyProtection="1">
      <alignment vertical="center"/>
      <protection hidden="1"/>
    </xf>
    <xf numFmtId="1" fontId="33" fillId="0" borderId="0" xfId="2" applyFont="1">
      <alignment vertical="center"/>
    </xf>
    <xf numFmtId="1" fontId="20" fillId="3" borderId="5" xfId="2" applyFont="1" applyFill="1" applyBorder="1" applyAlignment="1" applyProtection="1">
      <alignment horizontal="center" vertical="center" wrapText="1"/>
      <protection hidden="1"/>
    </xf>
    <xf numFmtId="1" fontId="32" fillId="6" borderId="6" xfId="2" applyFont="1" applyFill="1" applyBorder="1" applyAlignment="1" applyProtection="1">
      <alignment horizontal="center" vertical="center"/>
      <protection hidden="1"/>
    </xf>
    <xf numFmtId="1" fontId="32" fillId="6" borderId="11" xfId="2" applyFont="1" applyFill="1" applyBorder="1" applyAlignment="1" applyProtection="1">
      <alignment horizontal="center" vertical="center"/>
      <protection hidden="1"/>
    </xf>
    <xf numFmtId="1" fontId="32" fillId="6" borderId="9" xfId="2" applyFont="1" applyFill="1" applyBorder="1" applyAlignment="1" applyProtection="1">
      <alignment horizontal="center" vertical="center" wrapText="1"/>
      <protection hidden="1"/>
    </xf>
    <xf numFmtId="1" fontId="32" fillId="6" borderId="9" xfId="2" applyFont="1" applyFill="1" applyBorder="1" applyAlignment="1" applyProtection="1">
      <alignment horizontal="center" vertical="center"/>
      <protection hidden="1"/>
    </xf>
    <xf numFmtId="1" fontId="33" fillId="0" borderId="6" xfId="2" applyFont="1" applyFill="1" applyBorder="1" applyAlignment="1" applyProtection="1">
      <alignment horizontal="left" vertical="center"/>
      <protection hidden="1"/>
    </xf>
    <xf numFmtId="3" fontId="33" fillId="0" borderId="6" xfId="4" applyNumberFormat="1" applyFont="1" applyBorder="1" applyAlignment="1" applyProtection="1">
      <alignment vertical="center"/>
      <protection hidden="1"/>
    </xf>
    <xf numFmtId="1" fontId="33" fillId="0" borderId="8" xfId="2" applyFont="1" applyFill="1" applyBorder="1" applyAlignment="1" applyProtection="1">
      <alignment horizontal="left" vertical="center"/>
      <protection hidden="1"/>
    </xf>
    <xf numFmtId="3" fontId="33" fillId="0" borderId="8" xfId="4" applyNumberFormat="1" applyFont="1" applyBorder="1" applyAlignment="1" applyProtection="1">
      <alignment vertical="center"/>
      <protection hidden="1"/>
    </xf>
    <xf numFmtId="1" fontId="35" fillId="0" borderId="8" xfId="2" applyFont="1" applyFill="1" applyBorder="1" applyAlignment="1" applyProtection="1">
      <alignment horizontal="left" vertical="center" indent="1"/>
      <protection hidden="1"/>
    </xf>
    <xf numFmtId="3" fontId="33" fillId="11" borderId="8" xfId="4" applyNumberFormat="1" applyFont="1" applyFill="1" applyBorder="1" applyAlignment="1" applyProtection="1">
      <alignment vertical="center"/>
      <protection hidden="1"/>
    </xf>
    <xf numFmtId="1" fontId="33" fillId="0" borderId="0" xfId="6" applyFont="1">
      <alignment vertical="center"/>
    </xf>
    <xf numFmtId="1" fontId="32" fillId="7" borderId="8" xfId="2" applyFont="1" applyFill="1" applyBorder="1" applyAlignment="1" applyProtection="1">
      <alignment horizontal="left" vertical="center"/>
      <protection hidden="1"/>
    </xf>
    <xf numFmtId="3" fontId="32" fillId="7" borderId="9" xfId="4" applyNumberFormat="1" applyFont="1" applyFill="1" applyBorder="1" applyAlignment="1" applyProtection="1">
      <alignment vertical="center"/>
      <protection hidden="1"/>
    </xf>
    <xf numFmtId="1" fontId="33" fillId="0" borderId="0" xfId="2" applyFont="1" applyProtection="1">
      <alignment vertical="center"/>
      <protection hidden="1"/>
    </xf>
    <xf numFmtId="1" fontId="23" fillId="0" borderId="2" xfId="2" applyFont="1" applyBorder="1" applyAlignment="1" applyProtection="1">
      <alignment horizontal="left" vertical="center"/>
      <protection hidden="1"/>
    </xf>
    <xf numFmtId="1" fontId="23" fillId="0" borderId="3" xfId="2" applyFont="1" applyBorder="1" applyAlignment="1" applyProtection="1">
      <alignment horizontal="left" vertical="center"/>
      <protection hidden="1"/>
    </xf>
    <xf numFmtId="165" fontId="33" fillId="0" borderId="6" xfId="1" applyNumberFormat="1" applyFont="1" applyBorder="1" applyAlignment="1" applyProtection="1">
      <alignment vertical="center"/>
      <protection hidden="1"/>
    </xf>
    <xf numFmtId="165" fontId="33" fillId="0" borderId="8" xfId="1" applyNumberFormat="1" applyFont="1" applyBorder="1" applyAlignment="1" applyProtection="1">
      <alignment vertical="center"/>
      <protection hidden="1"/>
    </xf>
    <xf numFmtId="165" fontId="33" fillId="11" borderId="8" xfId="1" applyNumberFormat="1" applyFont="1" applyFill="1" applyBorder="1" applyAlignment="1" applyProtection="1">
      <alignment vertical="center"/>
      <protection hidden="1"/>
    </xf>
    <xf numFmtId="165" fontId="32" fillId="7" borderId="9" xfId="1" applyNumberFormat="1" applyFont="1" applyFill="1" applyBorder="1" applyAlignment="1" applyProtection="1">
      <alignment vertical="center"/>
      <protection hidden="1"/>
    </xf>
    <xf numFmtId="165" fontId="33" fillId="0" borderId="0" xfId="4" applyNumberFormat="1" applyFont="1" applyBorder="1" applyAlignment="1" applyProtection="1">
      <alignment vertical="center"/>
      <protection hidden="1"/>
    </xf>
    <xf numFmtId="165" fontId="33" fillId="0" borderId="6" xfId="4" applyNumberFormat="1" applyFont="1" applyBorder="1" applyAlignment="1" applyProtection="1">
      <alignment vertical="center"/>
      <protection hidden="1"/>
    </xf>
    <xf numFmtId="165" fontId="33" fillId="0" borderId="8" xfId="4" applyNumberFormat="1" applyFont="1" applyBorder="1" applyAlignment="1" applyProtection="1">
      <alignment vertical="center"/>
      <protection hidden="1"/>
    </xf>
    <xf numFmtId="165" fontId="33" fillId="11" borderId="8" xfId="4" applyNumberFormat="1" applyFont="1" applyFill="1" applyBorder="1" applyAlignment="1" applyProtection="1">
      <alignment vertical="center"/>
      <protection hidden="1"/>
    </xf>
    <xf numFmtId="1" fontId="33" fillId="7" borderId="8" xfId="2" applyFont="1" applyFill="1" applyBorder="1" applyAlignment="1" applyProtection="1">
      <alignment horizontal="left" vertical="center"/>
      <protection hidden="1"/>
    </xf>
    <xf numFmtId="165" fontId="33" fillId="7" borderId="8" xfId="4" applyNumberFormat="1" applyFont="1" applyFill="1" applyBorder="1" applyAlignment="1" applyProtection="1">
      <alignment vertical="center"/>
      <protection hidden="1"/>
    </xf>
    <xf numFmtId="1" fontId="2" fillId="6" borderId="4" xfId="2" applyFont="1" applyFill="1" applyBorder="1" applyProtection="1">
      <alignment vertical="center"/>
      <protection hidden="1"/>
    </xf>
    <xf numFmtId="0" fontId="32" fillId="6" borderId="9" xfId="2" applyNumberFormat="1" applyFont="1" applyFill="1" applyBorder="1" applyAlignment="1" applyProtection="1">
      <alignment horizontal="center" vertical="center" wrapText="1"/>
      <protection hidden="1"/>
    </xf>
    <xf numFmtId="1" fontId="32" fillId="6" borderId="8" xfId="2" applyFont="1" applyFill="1" applyBorder="1" applyAlignment="1" applyProtection="1">
      <alignment horizontal="center" vertical="center" wrapText="1"/>
      <protection hidden="1"/>
    </xf>
    <xf numFmtId="1" fontId="5" fillId="6" borderId="2" xfId="2" applyFont="1" applyFill="1" applyBorder="1" applyProtection="1">
      <alignment vertical="center"/>
      <protection hidden="1"/>
    </xf>
    <xf numFmtId="1" fontId="5" fillId="6" borderId="14" xfId="2" applyFont="1" applyFill="1" applyBorder="1" applyProtection="1">
      <alignment vertical="center"/>
      <protection hidden="1"/>
    </xf>
    <xf numFmtId="1" fontId="5" fillId="6" borderId="3" xfId="2" applyFont="1" applyFill="1" applyBorder="1" applyProtection="1">
      <alignment vertical="center"/>
      <protection hidden="1"/>
    </xf>
    <xf numFmtId="1" fontId="2" fillId="7" borderId="5" xfId="2" applyFont="1" applyFill="1" applyBorder="1" applyAlignment="1" applyProtection="1">
      <alignment horizontal="left" vertical="center" indent="1"/>
      <protection hidden="1"/>
    </xf>
    <xf numFmtId="164" fontId="2" fillId="7" borderId="6" xfId="2" applyNumberFormat="1" applyFont="1" applyFill="1" applyBorder="1" applyAlignment="1" applyProtection="1">
      <alignment horizontal="right" vertical="center" wrapText="1"/>
      <protection hidden="1"/>
    </xf>
    <xf numFmtId="1" fontId="2" fillId="0" borderId="7" xfId="2" applyFont="1" applyFill="1" applyBorder="1" applyAlignment="1" applyProtection="1">
      <alignment horizontal="left" vertical="center" indent="1"/>
      <protection hidden="1"/>
    </xf>
    <xf numFmtId="164" fontId="2" fillId="0" borderId="8" xfId="2" applyNumberFormat="1" applyFont="1" applyBorder="1" applyAlignment="1" applyProtection="1">
      <alignment horizontal="right" vertical="center" wrapText="1"/>
      <protection hidden="1"/>
    </xf>
    <xf numFmtId="1" fontId="2" fillId="0" borderId="7" xfId="2" applyFont="1" applyFill="1" applyBorder="1" applyAlignment="1" applyProtection="1">
      <alignment horizontal="left" indent="1"/>
      <protection hidden="1"/>
    </xf>
    <xf numFmtId="164" fontId="2" fillId="0" borderId="9" xfId="2" applyNumberFormat="1" applyFont="1" applyBorder="1" applyAlignment="1" applyProtection="1">
      <alignment horizontal="right" vertical="center" wrapText="1"/>
      <protection hidden="1"/>
    </xf>
    <xf numFmtId="164" fontId="2" fillId="6" borderId="13" xfId="2" applyNumberFormat="1" applyFont="1" applyFill="1" applyBorder="1" applyAlignment="1" applyProtection="1">
      <alignment horizontal="right" vertical="center" wrapText="1"/>
      <protection hidden="1"/>
    </xf>
    <xf numFmtId="1" fontId="5" fillId="6" borderId="16" xfId="2" applyFont="1" applyFill="1" applyBorder="1" applyProtection="1">
      <alignment vertical="center"/>
      <protection hidden="1"/>
    </xf>
    <xf numFmtId="164" fontId="2" fillId="0" borderId="9" xfId="2" applyNumberFormat="1" applyFont="1" applyBorder="1" applyAlignment="1" applyProtection="1">
      <alignment horizontal="right" wrapText="1"/>
      <protection hidden="1"/>
    </xf>
    <xf numFmtId="165" fontId="2" fillId="0" borderId="9" xfId="4" applyNumberFormat="1" applyFont="1" applyBorder="1" applyAlignment="1" applyProtection="1">
      <alignment horizontal="center" vertical="center"/>
      <protection hidden="1"/>
    </xf>
    <xf numFmtId="164" fontId="2" fillId="0" borderId="8" xfId="2" applyNumberFormat="1" applyFont="1" applyBorder="1" applyAlignment="1" applyProtection="1">
      <alignment horizontal="center" vertical="center"/>
      <protection hidden="1"/>
    </xf>
    <xf numFmtId="164" fontId="2" fillId="6" borderId="2" xfId="2" applyNumberFormat="1" applyFont="1" applyFill="1" applyBorder="1" applyAlignment="1" applyProtection="1">
      <alignment horizontal="right" vertical="center" wrapText="1"/>
      <protection hidden="1"/>
    </xf>
    <xf numFmtId="1" fontId="21" fillId="11" borderId="1" xfId="2" applyFont="1" applyFill="1" applyBorder="1" applyAlignment="1" applyProtection="1">
      <alignment horizontal="left" vertical="center" indent="1"/>
      <protection hidden="1"/>
    </xf>
    <xf numFmtId="164" fontId="2" fillId="11" borderId="13" xfId="2" applyNumberFormat="1" applyFont="1" applyFill="1" applyBorder="1" applyAlignment="1" applyProtection="1">
      <alignment horizontal="right" vertical="center" wrapText="1"/>
      <protection hidden="1"/>
    </xf>
    <xf numFmtId="1" fontId="5" fillId="11" borderId="3" xfId="2" applyFont="1" applyFill="1" applyBorder="1" applyProtection="1">
      <alignment vertical="center"/>
      <protection hidden="1"/>
    </xf>
    <xf numFmtId="1" fontId="5" fillId="11" borderId="2" xfId="2" applyFont="1" applyFill="1" applyBorder="1" applyProtection="1">
      <alignment vertical="center"/>
      <protection hidden="1"/>
    </xf>
    <xf numFmtId="164" fontId="2" fillId="0" borderId="9" xfId="2" applyNumberFormat="1" applyFont="1" applyFill="1" applyBorder="1" applyAlignment="1" applyProtection="1">
      <alignment horizontal="right" vertical="center" wrapText="1"/>
      <protection hidden="1"/>
    </xf>
    <xf numFmtId="165" fontId="2" fillId="0" borderId="8" xfId="4" applyNumberFormat="1" applyFont="1" applyFill="1" applyBorder="1" applyProtection="1">
      <alignment vertical="center"/>
      <protection hidden="1"/>
    </xf>
    <xf numFmtId="10" fontId="2" fillId="0" borderId="8" xfId="4" applyNumberFormat="1" applyFont="1" applyFill="1" applyBorder="1" applyProtection="1">
      <alignment vertical="center"/>
      <protection hidden="1"/>
    </xf>
    <xf numFmtId="1" fontId="21" fillId="7" borderId="5" xfId="2" applyFont="1" applyFill="1" applyBorder="1" applyAlignment="1" applyProtection="1">
      <alignment horizontal="left" vertical="center" indent="1"/>
      <protection hidden="1"/>
    </xf>
    <xf numFmtId="1" fontId="21" fillId="0" borderId="7" xfId="2" applyFont="1" applyFill="1" applyBorder="1" applyAlignment="1" applyProtection="1">
      <alignment horizontal="left" vertical="center" indent="1"/>
      <protection hidden="1"/>
    </xf>
    <xf numFmtId="10" fontId="2" fillId="0" borderId="16" xfId="4" applyNumberFormat="1" applyFont="1" applyBorder="1" applyProtection="1">
      <alignment vertical="center"/>
      <protection hidden="1"/>
    </xf>
    <xf numFmtId="0" fontId="36" fillId="0" borderId="0" xfId="7" applyFont="1" applyAlignment="1" applyProtection="1">
      <alignment vertical="center"/>
      <protection hidden="1"/>
    </xf>
    <xf numFmtId="0" fontId="36" fillId="0" borderId="0" xfId="7" applyFont="1" applyAlignment="1" applyProtection="1">
      <alignment vertical="center" wrapText="1"/>
      <protection hidden="1"/>
    </xf>
    <xf numFmtId="1" fontId="37" fillId="3" borderId="5" xfId="2" applyFont="1" applyFill="1" applyBorder="1" applyAlignment="1" applyProtection="1">
      <alignment horizontal="center" wrapText="1"/>
      <protection hidden="1"/>
    </xf>
    <xf numFmtId="1" fontId="37" fillId="3" borderId="13" xfId="2" applyFont="1" applyFill="1" applyBorder="1" applyAlignment="1" applyProtection="1">
      <alignment horizontal="center" wrapText="1"/>
      <protection hidden="1"/>
    </xf>
    <xf numFmtId="1" fontId="37" fillId="3" borderId="14" xfId="2" applyFont="1" applyFill="1" applyBorder="1" applyAlignment="1" applyProtection="1">
      <alignment horizontal="center" wrapText="1"/>
      <protection hidden="1"/>
    </xf>
    <xf numFmtId="49" fontId="37" fillId="3" borderId="11" xfId="2" applyNumberFormat="1" applyFont="1" applyFill="1" applyBorder="1" applyAlignment="1" applyProtection="1">
      <alignment wrapText="1"/>
      <protection hidden="1"/>
    </xf>
    <xf numFmtId="49" fontId="37" fillId="3" borderId="12" xfId="2" applyNumberFormat="1" applyFont="1" applyFill="1" applyBorder="1" applyAlignment="1" applyProtection="1">
      <alignment horizontal="center" wrapText="1"/>
      <protection hidden="1"/>
    </xf>
    <xf numFmtId="49" fontId="37" fillId="3" borderId="12" xfId="2" applyNumberFormat="1" applyFont="1" applyFill="1" applyBorder="1" applyAlignment="1" applyProtection="1">
      <alignment wrapText="1"/>
      <protection hidden="1"/>
    </xf>
    <xf numFmtId="49" fontId="37" fillId="3" borderId="16" xfId="2" applyNumberFormat="1" applyFont="1" applyFill="1" applyBorder="1" applyAlignment="1" applyProtection="1">
      <alignment wrapText="1"/>
      <protection hidden="1"/>
    </xf>
    <xf numFmtId="1" fontId="2" fillId="0" borderId="5" xfId="2" applyBorder="1" applyProtection="1">
      <alignment vertical="center"/>
      <protection hidden="1"/>
    </xf>
    <xf numFmtId="0" fontId="36" fillId="0" borderId="0" xfId="7" applyFont="1" applyFill="1" applyBorder="1" applyAlignment="1" applyProtection="1">
      <alignment vertical="center"/>
      <protection hidden="1"/>
    </xf>
    <xf numFmtId="0" fontId="26" fillId="0" borderId="0" xfId="8" applyFont="1" applyFill="1" applyBorder="1" applyAlignment="1" applyProtection="1">
      <alignment horizontal="center"/>
      <protection hidden="1"/>
    </xf>
    <xf numFmtId="3" fontId="26" fillId="0" borderId="0" xfId="8" applyNumberFormat="1" applyFont="1" applyFill="1" applyBorder="1" applyAlignment="1" applyProtection="1">
      <alignment horizontal="right" wrapText="1"/>
      <protection hidden="1"/>
    </xf>
    <xf numFmtId="0" fontId="38" fillId="7" borderId="4" xfId="7" applyFont="1" applyFill="1" applyBorder="1" applyAlignment="1" applyProtection="1">
      <alignment vertical="center"/>
      <protection hidden="1"/>
    </xf>
    <xf numFmtId="164" fontId="21" fillId="7" borderId="4" xfId="2" applyNumberFormat="1" applyFont="1" applyFill="1" applyBorder="1" applyProtection="1">
      <alignment vertical="center"/>
      <protection hidden="1"/>
    </xf>
    <xf numFmtId="1" fontId="34" fillId="0" borderId="0" xfId="2" applyFont="1" applyBorder="1" applyAlignment="1" applyProtection="1">
      <alignment wrapText="1"/>
      <protection hidden="1"/>
    </xf>
    <xf numFmtId="0" fontId="26" fillId="0" borderId="0" xfId="8" applyFont="1" applyFill="1" applyBorder="1" applyAlignment="1" applyProtection="1">
      <alignment horizontal="left" wrapText="1"/>
      <protection hidden="1"/>
    </xf>
    <xf numFmtId="0" fontId="26" fillId="0" borderId="0" xfId="8" applyFont="1" applyFill="1" applyBorder="1" applyAlignment="1" applyProtection="1">
      <alignment horizontal="center" wrapText="1"/>
      <protection hidden="1"/>
    </xf>
    <xf numFmtId="1" fontId="32" fillId="6" borderId="6" xfId="2" applyNumberFormat="1" applyFont="1" applyFill="1" applyBorder="1" applyAlignment="1" applyProtection="1">
      <alignment horizontal="center" vertical="center"/>
      <protection hidden="1"/>
    </xf>
    <xf numFmtId="1" fontId="32" fillId="6" borderId="9" xfId="2" applyFont="1" applyFill="1" applyBorder="1" applyAlignment="1" applyProtection="1">
      <alignment horizontal="center" vertical="center"/>
      <protection hidden="1"/>
    </xf>
    <xf numFmtId="1" fontId="32" fillId="6" borderId="8" xfId="2" applyNumberFormat="1" applyFont="1" applyFill="1" applyBorder="1" applyAlignment="1" applyProtection="1">
      <alignment horizontal="center" vertical="center"/>
      <protection hidden="1"/>
    </xf>
    <xf numFmtId="49" fontId="21" fillId="6" borderId="9" xfId="2" applyNumberFormat="1" applyFont="1" applyFill="1" applyBorder="1" applyAlignment="1" applyProtection="1">
      <alignment horizontal="center" vertical="center" wrapText="1"/>
      <protection hidden="1"/>
    </xf>
    <xf numFmtId="1" fontId="32" fillId="6" borderId="6" xfId="2" applyNumberFormat="1" applyFont="1" applyFill="1" applyBorder="1" applyAlignment="1" applyProtection="1">
      <alignment horizontal="center" vertical="center" wrapText="1"/>
      <protection hidden="1"/>
    </xf>
    <xf numFmtId="17" fontId="32" fillId="6" borderId="6" xfId="2" applyNumberFormat="1" applyFont="1" applyFill="1" applyBorder="1" applyAlignment="1" applyProtection="1">
      <alignment horizontal="center" vertical="center" wrapText="1"/>
      <protection hidden="1"/>
    </xf>
    <xf numFmtId="0" fontId="39" fillId="0" borderId="5" xfId="7" applyFont="1" applyBorder="1" applyAlignment="1" applyProtection="1">
      <alignment vertical="center"/>
      <protection hidden="1"/>
    </xf>
    <xf numFmtId="3" fontId="39" fillId="12" borderId="6" xfId="7" applyNumberFormat="1" applyFont="1" applyFill="1" applyBorder="1" applyAlignment="1" applyProtection="1">
      <alignment horizontal="right" vertical="center" wrapText="1"/>
      <protection hidden="1"/>
    </xf>
    <xf numFmtId="10" fontId="39" fillId="12" borderId="13" xfId="4" applyNumberFormat="1" applyFont="1" applyFill="1" applyBorder="1" applyProtection="1">
      <alignment vertical="center"/>
      <protection hidden="1"/>
    </xf>
    <xf numFmtId="10" fontId="39" fillId="12" borderId="0" xfId="4" applyNumberFormat="1" applyFont="1" applyFill="1" applyBorder="1" applyProtection="1">
      <alignment vertical="center"/>
      <protection hidden="1"/>
    </xf>
    <xf numFmtId="3" fontId="39" fillId="12" borderId="8" xfId="7" applyNumberFormat="1" applyFont="1" applyFill="1" applyBorder="1" applyAlignment="1" applyProtection="1">
      <alignment horizontal="right" vertical="center" wrapText="1"/>
      <protection hidden="1"/>
    </xf>
    <xf numFmtId="165" fontId="39" fillId="12" borderId="15" xfId="4" applyNumberFormat="1" applyFont="1" applyFill="1" applyBorder="1" applyProtection="1">
      <alignment vertical="center"/>
      <protection hidden="1"/>
    </xf>
    <xf numFmtId="0" fontId="36" fillId="12" borderId="0" xfId="7" applyFont="1" applyFill="1" applyAlignment="1" applyProtection="1">
      <alignment vertical="center"/>
      <protection hidden="1"/>
    </xf>
    <xf numFmtId="0" fontId="39" fillId="0" borderId="7" xfId="7" applyFont="1" applyBorder="1" applyAlignment="1" applyProtection="1">
      <alignment vertical="center"/>
      <protection hidden="1"/>
    </xf>
    <xf numFmtId="3" fontId="39" fillId="12" borderId="8" xfId="7" quotePrefix="1" applyNumberFormat="1" applyFont="1" applyFill="1" applyBorder="1" applyAlignment="1" applyProtection="1">
      <alignment horizontal="right" vertical="center" wrapText="1"/>
      <protection hidden="1"/>
    </xf>
    <xf numFmtId="165" fontId="39" fillId="12" borderId="15" xfId="4" applyNumberFormat="1" applyFont="1" applyFill="1" applyBorder="1" applyAlignment="1" applyProtection="1">
      <alignment horizontal="center" vertical="center"/>
      <protection hidden="1"/>
    </xf>
    <xf numFmtId="0" fontId="38" fillId="7" borderId="11" xfId="7" applyFont="1" applyFill="1" applyBorder="1" applyAlignment="1" applyProtection="1">
      <alignment vertical="center"/>
      <protection hidden="1"/>
    </xf>
    <xf numFmtId="3" fontId="38" fillId="7" borderId="9" xfId="7" applyNumberFormat="1" applyFont="1" applyFill="1" applyBorder="1" applyAlignment="1" applyProtection="1">
      <alignment horizontal="right" vertical="center" wrapText="1"/>
      <protection hidden="1"/>
    </xf>
    <xf numFmtId="165" fontId="38" fillId="7" borderId="12" xfId="4" applyNumberFormat="1" applyFont="1" applyFill="1" applyBorder="1" applyProtection="1">
      <alignment vertical="center"/>
      <protection hidden="1"/>
    </xf>
    <xf numFmtId="10" fontId="38" fillId="7" borderId="12" xfId="4" applyNumberFormat="1" applyFont="1" applyFill="1" applyBorder="1" applyProtection="1">
      <alignment vertical="center"/>
      <protection hidden="1"/>
    </xf>
    <xf numFmtId="165" fontId="38" fillId="7" borderId="9" xfId="4" applyNumberFormat="1" applyFont="1" applyFill="1" applyBorder="1" applyProtection="1">
      <alignment vertical="center"/>
      <protection hidden="1"/>
    </xf>
    <xf numFmtId="0" fontId="26" fillId="0" borderId="1" xfId="7" applyFont="1" applyBorder="1" applyAlignment="1" applyProtection="1">
      <alignment horizontal="left" wrapText="1"/>
      <protection hidden="1"/>
    </xf>
    <xf numFmtId="0" fontId="26" fillId="0" borderId="12" xfId="7" applyFont="1" applyBorder="1" applyAlignment="1" applyProtection="1">
      <alignment horizontal="left" wrapText="1"/>
      <protection hidden="1"/>
    </xf>
    <xf numFmtId="0" fontId="26" fillId="0" borderId="2" xfId="7" applyFont="1" applyBorder="1" applyAlignment="1" applyProtection="1">
      <alignment horizontal="left" wrapText="1"/>
      <protection hidden="1"/>
    </xf>
    <xf numFmtId="0" fontId="26" fillId="0" borderId="3" xfId="7" applyFont="1" applyBorder="1" applyAlignment="1" applyProtection="1">
      <alignment horizontal="left" wrapText="1"/>
      <protection hidden="1"/>
    </xf>
    <xf numFmtId="0" fontId="26" fillId="0" borderId="0" xfId="7" applyFont="1" applyAlignment="1" applyProtection="1">
      <alignment vertical="center"/>
      <protection hidden="1"/>
    </xf>
    <xf numFmtId="1" fontId="12" fillId="0" borderId="0" xfId="2" applyFont="1" applyFill="1" applyBorder="1" applyAlignment="1" applyProtection="1">
      <alignment vertical="center" wrapText="1"/>
      <protection hidden="1"/>
    </xf>
    <xf numFmtId="0" fontId="21" fillId="6" borderId="9" xfId="2" applyNumberFormat="1" applyFont="1" applyFill="1" applyBorder="1" applyAlignment="1" applyProtection="1">
      <alignment horizontal="center" vertical="center" wrapText="1"/>
      <protection hidden="1"/>
    </xf>
    <xf numFmtId="1" fontId="21" fillId="7" borderId="6" xfId="2" applyFont="1" applyFill="1" applyBorder="1" applyAlignment="1" applyProtection="1">
      <alignment horizontal="left" vertical="center" wrapText="1"/>
      <protection hidden="1"/>
    </xf>
    <xf numFmtId="3" fontId="21" fillId="7" borderId="0" xfId="2" applyNumberFormat="1" applyFont="1" applyFill="1" applyAlignment="1" applyProtection="1">
      <alignment horizontal="right" vertical="center"/>
      <protection hidden="1"/>
    </xf>
    <xf numFmtId="165" fontId="40" fillId="7" borderId="6" xfId="4" applyNumberFormat="1" applyFont="1" applyFill="1" applyBorder="1" applyAlignment="1" applyProtection="1">
      <alignment horizontal="right" vertical="center" wrapText="1"/>
      <protection hidden="1"/>
    </xf>
    <xf numFmtId="1" fontId="21" fillId="0" borderId="8" xfId="2" applyFont="1" applyFill="1" applyBorder="1" applyAlignment="1" applyProtection="1">
      <alignment horizontal="left" vertical="center" wrapText="1"/>
      <protection hidden="1"/>
    </xf>
    <xf numFmtId="3" fontId="21" fillId="0" borderId="0" xfId="2" applyNumberFormat="1" applyFont="1" applyAlignment="1" applyProtection="1">
      <alignment horizontal="right" vertical="center"/>
      <protection hidden="1"/>
    </xf>
    <xf numFmtId="165" fontId="40" fillId="0" borderId="8" xfId="4" applyNumberFormat="1" applyFont="1" applyBorder="1" applyAlignment="1" applyProtection="1">
      <alignment horizontal="right" vertical="center" wrapText="1"/>
      <protection hidden="1"/>
    </xf>
    <xf numFmtId="1" fontId="2" fillId="0" borderId="8" xfId="2" applyFont="1" applyFill="1" applyBorder="1" applyAlignment="1" applyProtection="1">
      <alignment horizontal="left" indent="1"/>
      <protection hidden="1"/>
    </xf>
    <xf numFmtId="3" fontId="2" fillId="0" borderId="0" xfId="2" applyNumberFormat="1" applyFont="1" applyAlignment="1" applyProtection="1">
      <alignment horizontal="right" vertical="center"/>
      <protection hidden="1"/>
    </xf>
    <xf numFmtId="165" fontId="36" fillId="0" borderId="8" xfId="4" applyNumberFormat="1" applyFont="1" applyBorder="1" applyAlignment="1" applyProtection="1">
      <alignment horizontal="right" vertical="center" wrapText="1"/>
      <protection hidden="1"/>
    </xf>
    <xf numFmtId="3" fontId="2" fillId="0" borderId="0" xfId="2" applyNumberFormat="1" applyAlignment="1" applyProtection="1">
      <alignment horizontal="right" vertical="center"/>
      <protection hidden="1"/>
    </xf>
    <xf numFmtId="3" fontId="40" fillId="0" borderId="8" xfId="7" applyNumberFormat="1" applyFont="1" applyBorder="1" applyAlignment="1" applyProtection="1">
      <alignment horizontal="right" vertical="center" wrapText="1"/>
      <protection hidden="1"/>
    </xf>
    <xf numFmtId="3" fontId="21" fillId="0" borderId="15" xfId="2" applyNumberFormat="1" applyFont="1" applyBorder="1" applyAlignment="1" applyProtection="1">
      <alignment horizontal="right" vertical="center"/>
      <protection hidden="1"/>
    </xf>
    <xf numFmtId="3" fontId="36" fillId="0" borderId="8" xfId="7" applyNumberFormat="1" applyFont="1" applyBorder="1" applyAlignment="1" applyProtection="1">
      <alignment horizontal="right" vertical="center" wrapText="1"/>
      <protection hidden="1"/>
    </xf>
    <xf numFmtId="1" fontId="41" fillId="0" borderId="0" xfId="2" applyFont="1" applyBorder="1" applyAlignment="1" applyProtection="1">
      <alignment vertical="center" wrapText="1"/>
      <protection hidden="1"/>
    </xf>
    <xf numFmtId="1" fontId="41" fillId="0" borderId="1" xfId="2" applyFont="1" applyBorder="1" applyAlignment="1" applyProtection="1">
      <alignment horizontal="left" vertical="center" wrapText="1"/>
      <protection hidden="1"/>
    </xf>
    <xf numFmtId="1" fontId="41" fillId="0" borderId="2" xfId="2" applyFont="1" applyBorder="1" applyAlignment="1" applyProtection="1">
      <alignment horizontal="left" vertical="center" wrapText="1"/>
      <protection hidden="1"/>
    </xf>
    <xf numFmtId="1" fontId="41" fillId="0" borderId="3" xfId="2" applyFont="1" applyBorder="1" applyAlignment="1" applyProtection="1">
      <alignment horizontal="left" vertical="center" wrapText="1"/>
      <protection hidden="1"/>
    </xf>
    <xf numFmtId="1" fontId="21" fillId="14" borderId="14" xfId="2" applyFont="1" applyFill="1" applyBorder="1" applyAlignment="1">
      <alignment horizontal="center" vertical="center"/>
    </xf>
    <xf numFmtId="1" fontId="2" fillId="0" borderId="5" xfId="2" applyFont="1" applyBorder="1" applyAlignment="1" applyProtection="1">
      <alignment horizontal="left"/>
    </xf>
    <xf numFmtId="1" fontId="33" fillId="14" borderId="13" xfId="2" applyFont="1" applyFill="1" applyBorder="1" applyAlignment="1">
      <alignment vertical="center"/>
    </xf>
    <xf numFmtId="1" fontId="21" fillId="14" borderId="15" xfId="2" applyFont="1" applyFill="1" applyBorder="1" applyAlignment="1">
      <alignment horizontal="center" vertical="center"/>
    </xf>
    <xf numFmtId="1" fontId="2" fillId="0" borderId="7" xfId="2" applyFont="1" applyBorder="1" applyAlignment="1" applyProtection="1">
      <alignment horizontal="left"/>
    </xf>
    <xf numFmtId="1" fontId="21" fillId="14" borderId="16" xfId="2" applyFont="1" applyFill="1" applyBorder="1" applyAlignment="1">
      <alignment horizontal="center" vertical="center"/>
    </xf>
    <xf numFmtId="1" fontId="2" fillId="0" borderId="11" xfId="2" applyFont="1" applyBorder="1" applyAlignment="1" applyProtection="1">
      <alignment horizontal="left"/>
    </xf>
    <xf numFmtId="1" fontId="22" fillId="14" borderId="1" xfId="2" applyNumberFormat="1" applyFont="1" applyFill="1" applyBorder="1" applyAlignment="1">
      <alignment horizontal="center" vertical="center" wrapText="1"/>
    </xf>
    <xf numFmtId="1" fontId="21" fillId="14" borderId="14" xfId="2" applyFont="1" applyFill="1" applyBorder="1" applyAlignment="1">
      <alignment horizontal="center" vertical="center" wrapText="1"/>
    </xf>
    <xf numFmtId="1" fontId="2" fillId="0" borderId="5" xfId="2" applyFont="1" applyFill="1" applyBorder="1" applyAlignment="1">
      <alignment horizontal="left" vertical="center" wrapText="1"/>
    </xf>
    <xf numFmtId="1" fontId="21" fillId="14" borderId="15" xfId="2" applyFont="1" applyFill="1" applyBorder="1" applyAlignment="1">
      <alignment horizontal="center" vertical="center" wrapText="1"/>
    </xf>
    <xf numFmtId="1" fontId="2" fillId="0" borderId="7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32" fillId="14" borderId="6" xfId="2" applyNumberFormat="1" applyFont="1" applyFill="1" applyBorder="1" applyAlignment="1" applyProtection="1">
      <alignment horizontal="center" vertical="center" wrapText="1"/>
      <protection hidden="1"/>
    </xf>
    <xf numFmtId="1" fontId="20" fillId="15" borderId="1" xfId="2" applyFont="1" applyFill="1" applyBorder="1" applyAlignment="1">
      <alignment horizontal="center" vertical="center" wrapText="1"/>
    </xf>
    <xf numFmtId="1" fontId="20" fillId="15" borderId="2" xfId="2" applyFont="1" applyFill="1" applyBorder="1" applyAlignment="1">
      <alignment horizontal="center" vertical="center" wrapText="1"/>
    </xf>
    <xf numFmtId="1" fontId="20" fillId="15" borderId="3" xfId="2" applyFont="1" applyFill="1" applyBorder="1" applyAlignment="1">
      <alignment horizontal="center" vertical="center" wrapText="1"/>
    </xf>
    <xf numFmtId="0" fontId="21" fillId="14" borderId="4" xfId="2" applyNumberFormat="1" applyFont="1" applyFill="1" applyBorder="1" applyAlignment="1" applyProtection="1">
      <alignment horizontal="center" vertical="center"/>
      <protection hidden="1"/>
    </xf>
    <xf numFmtId="1" fontId="21" fillId="14" borderId="6" xfId="2" applyNumberFormat="1" applyFont="1" applyFill="1" applyBorder="1" applyAlignment="1">
      <alignment horizontal="center" vertical="center" wrapText="1"/>
    </xf>
  </cellXfs>
  <cellStyles count="187">
    <cellStyle name="20% - Énfasis1 2" xfId="9"/>
    <cellStyle name="20% - Énfasis1 3" xfId="10"/>
    <cellStyle name="20% - Énfasis1 4" xfId="11"/>
    <cellStyle name="20% - Énfasis1 5" xfId="12"/>
    <cellStyle name="20% - Énfasis2 2" xfId="13"/>
    <cellStyle name="20% - Énfasis2 3" xfId="14"/>
    <cellStyle name="20% - Énfasis2 4" xfId="15"/>
    <cellStyle name="20% - Énfasis2 5" xfId="16"/>
    <cellStyle name="20% - Énfasis3 2" xfId="17"/>
    <cellStyle name="20% - Énfasis3 3" xfId="18"/>
    <cellStyle name="20% - Énfasis3 4" xfId="19"/>
    <cellStyle name="20% - Énfasis3 5" xfId="20"/>
    <cellStyle name="20% - Énfasis4 2" xfId="21"/>
    <cellStyle name="20% - Énfasis4 3" xfId="22"/>
    <cellStyle name="20% - Énfasis4 4" xfId="23"/>
    <cellStyle name="20% - Énfasis4 5" xfId="24"/>
    <cellStyle name="20% - Énfasis5 2" xfId="25"/>
    <cellStyle name="20% - Énfasis5 3" xfId="26"/>
    <cellStyle name="20% - Énfasis5 4" xfId="27"/>
    <cellStyle name="20% - Énfasis5 5" xfId="28"/>
    <cellStyle name="20% - Énfasis6 2" xfId="29"/>
    <cellStyle name="20% - Énfasis6 3" xfId="30"/>
    <cellStyle name="20% - Énfasis6 4" xfId="31"/>
    <cellStyle name="20% - Énfasis6 5" xfId="32"/>
    <cellStyle name="40% - Énfasis1 2" xfId="33"/>
    <cellStyle name="40% - Énfasis1 3" xfId="34"/>
    <cellStyle name="40% - Énfasis1 4" xfId="35"/>
    <cellStyle name="40% - Énfasis1 5" xfId="36"/>
    <cellStyle name="40% - Énfasis2 2" xfId="37"/>
    <cellStyle name="40% - Énfasis2 3" xfId="38"/>
    <cellStyle name="40% - Énfasis2 4" xfId="39"/>
    <cellStyle name="40% - Énfasis2 5" xfId="40"/>
    <cellStyle name="40% - Énfasis3 2" xfId="41"/>
    <cellStyle name="40% - Énfasis3 3" xfId="42"/>
    <cellStyle name="40% - Énfasis3 4" xfId="43"/>
    <cellStyle name="40% - Énfasis3 5" xfId="44"/>
    <cellStyle name="40% - Énfasis4 2" xfId="45"/>
    <cellStyle name="40% - Énfasis4 3" xfId="46"/>
    <cellStyle name="40% - Énfasis4 4" xfId="47"/>
    <cellStyle name="40% - Énfasis4 5" xfId="48"/>
    <cellStyle name="40% - Énfasis5 2" xfId="49"/>
    <cellStyle name="40% - Énfasis5 3" xfId="50"/>
    <cellStyle name="40% - Énfasis5 4" xfId="51"/>
    <cellStyle name="40% - Énfasis5 5" xfId="52"/>
    <cellStyle name="40% - Énfasis6 2" xfId="53"/>
    <cellStyle name="40% - Énfasis6 3" xfId="54"/>
    <cellStyle name="40% - Énfasis6 4" xfId="55"/>
    <cellStyle name="40% - Énfasis6 5" xfId="56"/>
    <cellStyle name="60% - Énfasis1 2" xfId="57"/>
    <cellStyle name="60% - Énfasis1 3" xfId="58"/>
    <cellStyle name="60% - Énfasis1 4" xfId="59"/>
    <cellStyle name="60% - Énfasis1 5" xfId="60"/>
    <cellStyle name="60% - Énfasis2 2" xfId="61"/>
    <cellStyle name="60% - Énfasis2 3" xfId="62"/>
    <cellStyle name="60% - Énfasis2 4" xfId="63"/>
    <cellStyle name="60% - Énfasis2 5" xfId="64"/>
    <cellStyle name="60% - Énfasis3 2" xfId="65"/>
    <cellStyle name="60% - Énfasis3 3" xfId="66"/>
    <cellStyle name="60% - Énfasis3 4" xfId="67"/>
    <cellStyle name="60% - Énfasis3 5" xfId="68"/>
    <cellStyle name="60% - Énfasis4 2" xfId="69"/>
    <cellStyle name="60% - Énfasis4 3" xfId="70"/>
    <cellStyle name="60% - Énfasis4 4" xfId="71"/>
    <cellStyle name="60% - Énfasis4 5" xfId="72"/>
    <cellStyle name="60% - Énfasis5 2" xfId="73"/>
    <cellStyle name="60% - Énfasis5 3" xfId="74"/>
    <cellStyle name="60% - Énfasis5 4" xfId="75"/>
    <cellStyle name="60% - Énfasis5 5" xfId="76"/>
    <cellStyle name="60% - Énfasis6 2" xfId="77"/>
    <cellStyle name="60% - Énfasis6 3" xfId="78"/>
    <cellStyle name="60% - Énfasis6 4" xfId="79"/>
    <cellStyle name="60% - Énfasis6 5" xfId="80"/>
    <cellStyle name="Buena 2" xfId="81"/>
    <cellStyle name="Buena 3" xfId="82"/>
    <cellStyle name="Buena 4" xfId="83"/>
    <cellStyle name="Buena 5" xfId="84"/>
    <cellStyle name="Cabecera 1" xfId="85"/>
    <cellStyle name="Cabecera 2" xfId="86"/>
    <cellStyle name="Cálculo 2" xfId="87"/>
    <cellStyle name="Cálculo 3" xfId="88"/>
    <cellStyle name="Cálculo 4" xfId="89"/>
    <cellStyle name="Cálculo 5" xfId="90"/>
    <cellStyle name="Celda de comprobación 2" xfId="91"/>
    <cellStyle name="Celda de comprobación 3" xfId="92"/>
    <cellStyle name="Celda de comprobación 4" xfId="93"/>
    <cellStyle name="Celda de comprobación 5" xfId="94"/>
    <cellStyle name="Celda vinculada 2" xfId="95"/>
    <cellStyle name="Celda vinculada 3" xfId="96"/>
    <cellStyle name="Celda vinculada 4" xfId="97"/>
    <cellStyle name="Celda vinculada 5" xfId="98"/>
    <cellStyle name="Encabezado 4 2" xfId="99"/>
    <cellStyle name="Encabezado 4 3" xfId="100"/>
    <cellStyle name="Encabezado 4 4" xfId="101"/>
    <cellStyle name="Encabezado 4 5" xfId="102"/>
    <cellStyle name="Énfasis1 2" xfId="103"/>
    <cellStyle name="Énfasis1 3" xfId="104"/>
    <cellStyle name="Énfasis1 4" xfId="105"/>
    <cellStyle name="Énfasis1 5" xfId="106"/>
    <cellStyle name="Énfasis2 2" xfId="107"/>
    <cellStyle name="Énfasis2 3" xfId="108"/>
    <cellStyle name="Énfasis2 4" xfId="109"/>
    <cellStyle name="Énfasis2 5" xfId="110"/>
    <cellStyle name="Énfasis3 2" xfId="111"/>
    <cellStyle name="Énfasis3 3" xfId="112"/>
    <cellStyle name="Énfasis3 4" xfId="113"/>
    <cellStyle name="Énfasis3 5" xfId="114"/>
    <cellStyle name="Énfasis4 2" xfId="115"/>
    <cellStyle name="Énfasis4 3" xfId="116"/>
    <cellStyle name="Énfasis4 4" xfId="117"/>
    <cellStyle name="Énfasis4 5" xfId="118"/>
    <cellStyle name="Énfasis5 2" xfId="119"/>
    <cellStyle name="Énfasis5 3" xfId="120"/>
    <cellStyle name="Énfasis5 4" xfId="121"/>
    <cellStyle name="Énfasis5 5" xfId="122"/>
    <cellStyle name="Énfasis6 2" xfId="123"/>
    <cellStyle name="Énfasis6 3" xfId="124"/>
    <cellStyle name="Énfasis6 4" xfId="125"/>
    <cellStyle name="Énfasis6 5" xfId="126"/>
    <cellStyle name="Entrada 2" xfId="127"/>
    <cellStyle name="Entrada 3" xfId="128"/>
    <cellStyle name="Entrada 4" xfId="129"/>
    <cellStyle name="Entrada 5" xfId="130"/>
    <cellStyle name="Estilo 1" xfId="131"/>
    <cellStyle name="Euro" xfId="132"/>
    <cellStyle name="Fecha" xfId="133"/>
    <cellStyle name="Fijo" xfId="134"/>
    <cellStyle name="Hipervínculo 2" xfId="3"/>
    <cellStyle name="Incorrecto 2" xfId="135"/>
    <cellStyle name="Incorrecto 3" xfId="136"/>
    <cellStyle name="Incorrecto 4" xfId="137"/>
    <cellStyle name="Incorrecto 5" xfId="138"/>
    <cellStyle name="Millares [0] 2" xfId="139"/>
    <cellStyle name="Monetario" xfId="140"/>
    <cellStyle name="Monetario0" xfId="141"/>
    <cellStyle name="Neutral 2" xfId="142"/>
    <cellStyle name="Neutral 3" xfId="143"/>
    <cellStyle name="Neutral 4" xfId="144"/>
    <cellStyle name="Neutral 5" xfId="145"/>
    <cellStyle name="Normal" xfId="0" builtinId="0"/>
    <cellStyle name="Normal 2" xfId="2"/>
    <cellStyle name="Normal 2 2" xfId="6"/>
    <cellStyle name="Normal 3" xfId="146"/>
    <cellStyle name="Normal 3 2" xfId="147"/>
    <cellStyle name="Normal_Hoja1" xfId="8"/>
    <cellStyle name="Normal_PlazasEstablecimientosMunicipioAutAños" xfId="7"/>
    <cellStyle name="Normal_Series anuales Estadísticas de Turismo" xfId="5"/>
    <cellStyle name="Notas 2" xfId="148"/>
    <cellStyle name="Notas 3" xfId="149"/>
    <cellStyle name="Notas 4" xfId="150"/>
    <cellStyle name="Notas 5" xfId="151"/>
    <cellStyle name="Porcentaje" xfId="152"/>
    <cellStyle name="Porcentual" xfId="1" builtinId="5"/>
    <cellStyle name="Porcentual 2" xfId="4"/>
    <cellStyle name="Punto" xfId="153"/>
    <cellStyle name="Punto0" xfId="154"/>
    <cellStyle name="Salida 2" xfId="155"/>
    <cellStyle name="Salida 3" xfId="156"/>
    <cellStyle name="Salida 4" xfId="157"/>
    <cellStyle name="Salida 5" xfId="158"/>
    <cellStyle name="Texto de advertencia 2" xfId="159"/>
    <cellStyle name="Texto de advertencia 3" xfId="160"/>
    <cellStyle name="Texto de advertencia 4" xfId="161"/>
    <cellStyle name="Texto de advertencia 5" xfId="162"/>
    <cellStyle name="Texto explicativo 2" xfId="163"/>
    <cellStyle name="Texto explicativo 3" xfId="164"/>
    <cellStyle name="Texto explicativo 4" xfId="165"/>
    <cellStyle name="Texto explicativo 5" xfId="166"/>
    <cellStyle name="Título 1 2" xfId="167"/>
    <cellStyle name="Título 1 3" xfId="168"/>
    <cellStyle name="Título 1 4" xfId="169"/>
    <cellStyle name="Título 1 5" xfId="170"/>
    <cellStyle name="Título 2 2" xfId="171"/>
    <cellStyle name="Título 2 3" xfId="172"/>
    <cellStyle name="Título 2 4" xfId="173"/>
    <cellStyle name="Título 2 5" xfId="174"/>
    <cellStyle name="Título 3 2" xfId="175"/>
    <cellStyle name="Título 3 3" xfId="176"/>
    <cellStyle name="Título 3 4" xfId="177"/>
    <cellStyle name="Título 3 5" xfId="178"/>
    <cellStyle name="Título 4" xfId="179"/>
    <cellStyle name="Título 5" xfId="180"/>
    <cellStyle name="Título 6" xfId="181"/>
    <cellStyle name="Título 7" xfId="182"/>
    <cellStyle name="Total 2" xfId="183"/>
    <cellStyle name="Total 3" xfId="184"/>
    <cellStyle name="Total 4" xfId="185"/>
    <cellStyle name="Total 5" xfId="186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2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customXml" Target="../customXml/item1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externalLink" Target="externalLinks/externalLink3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1.xml"/><Relationship Id="rId114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theme" Target="theme/theme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styles" Target="styles.xml"/><Relationship Id="rId115" Type="http://schemas.openxmlformats.org/officeDocument/2006/relationships/customXml" Target="../customXml/item3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sharedStrings" Target="sharedStrings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tip'!$C$3:$F$3</c:f>
          <c:strCache>
            <c:ptCount val="1"/>
            <c:pt idx="0">
              <c:v>TURISTAS ALOJADOS EN ADEJE POR TIPOLOGÍA DE ESTABLECIMIENTO</c:v>
            </c:pt>
          </c:strCache>
        </c:strRef>
      </c:tx>
      <c:layout/>
    </c:title>
    <c:plotArea>
      <c:layout/>
      <c:lineChart>
        <c:grouping val="standard"/>
        <c:ser>
          <c:idx val="0"/>
          <c:order val="0"/>
          <c:tx>
            <c:strRef>
              <c:f>'tab. Turistas alojados tip'!$D$4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tip'!$C$69,'tab. Turistas alojados tip'!$C$56,'tab. Turistas alojados tip'!$C$43,'tab. Turistas alojados tip'!$C$30)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('tab. Turistas alojados tip'!$D$69,'tab. Turistas alojados tip'!$D$56,'tab. Turistas alojados tip'!$D$43,'tab. Turistas alojados tip'!$D$30)</c:f>
              <c:numCache>
                <c:formatCode>#,##0</c:formatCode>
                <c:ptCount val="4"/>
                <c:pt idx="0">
                  <c:v>1222491</c:v>
                </c:pt>
                <c:pt idx="1">
                  <c:v>1195570</c:v>
                </c:pt>
                <c:pt idx="2">
                  <c:v>1208135</c:v>
                </c:pt>
                <c:pt idx="3">
                  <c:v>1052440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tip'!$E$4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tip'!$C$69,'tab. Turistas alojados tip'!$C$56,'tab. Turistas alojados tip'!$C$43,'tab. Turistas alojados tip'!$C$30)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('tab. Turistas alojados tip'!$E$69,'tab. Turistas alojados tip'!$E$56,'tab. Turistas alojados tip'!$E$43,'tab. Turistas alojados tip'!$E$30)</c:f>
              <c:numCache>
                <c:formatCode>#,##0</c:formatCode>
                <c:ptCount val="4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tip'!$F$4</c:f>
              <c:strCache>
                <c:ptCount val="1"/>
                <c:pt idx="0">
                  <c:v> TOTAL GENERAL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tip'!$C$69,'tab. Turistas alojados tip'!$C$56,'tab. Turistas alojados tip'!$C$43,'tab. Turistas alojados tip'!$C$30)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('tab. Turistas alojados tip'!$F$69,'tab. Turistas alojados tip'!$F$56,'tab. Turistas alojados tip'!$F$43,'tab. Turistas alojados tip'!$F$30)</c:f>
              <c:numCache>
                <c:formatCode>#,##0</c:formatCode>
                <c:ptCount val="4"/>
                <c:pt idx="0">
                  <c:v>1931419</c:v>
                </c:pt>
                <c:pt idx="1">
                  <c:v>1868182</c:v>
                </c:pt>
                <c:pt idx="2">
                  <c:v>1890800</c:v>
                </c:pt>
                <c:pt idx="3">
                  <c:v>1649031</c:v>
                </c:pt>
              </c:numCache>
            </c:numRef>
          </c:val>
        </c:ser>
        <c:marker val="1"/>
        <c:axId val="194588032"/>
        <c:axId val="194598400"/>
      </c:lineChart>
      <c:catAx>
        <c:axId val="194588032"/>
        <c:scaling>
          <c:orientation val="minMax"/>
        </c:scaling>
        <c:axPos val="b"/>
        <c:numFmt formatCode="General" sourceLinked="1"/>
        <c:tickLblPos val="nextTo"/>
        <c:crossAx val="194598400"/>
        <c:crosses val="autoZero"/>
        <c:auto val="1"/>
        <c:lblAlgn val="ctr"/>
        <c:lblOffset val="100"/>
        <c:tickLblSkip val="1"/>
      </c:catAx>
      <c:valAx>
        <c:axId val="194598400"/>
        <c:scaling>
          <c:orientation val="minMax"/>
        </c:scaling>
        <c:axPos val="l"/>
        <c:numFmt formatCode="#,##0" sourceLinked="1"/>
        <c:tickLblPos val="nextTo"/>
        <c:crossAx val="194588032"/>
        <c:crosses val="autoZero"/>
        <c:crossBetween val="between"/>
      </c:valAx>
    </c:plotArea>
    <c:legend>
      <c:legendPos val="t"/>
      <c:layout/>
    </c:legend>
    <c:plotVisOnly val="1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/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merc'!$B$24:$B$35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merc'!$C$24:$C$35</c:f>
              <c:numCache>
                <c:formatCode>#,##0</c:formatCode>
                <c:ptCount val="12"/>
                <c:pt idx="0">
                  <c:v>54908</c:v>
                </c:pt>
                <c:pt idx="1">
                  <c:v>69161</c:v>
                </c:pt>
                <c:pt idx="2">
                  <c:v>64355</c:v>
                </c:pt>
                <c:pt idx="3">
                  <c:v>58180</c:v>
                </c:pt>
                <c:pt idx="4">
                  <c:v>55122</c:v>
                </c:pt>
                <c:pt idx="5">
                  <c:v>50383</c:v>
                </c:pt>
                <c:pt idx="6">
                  <c:v>54207</c:v>
                </c:pt>
                <c:pt idx="7">
                  <c:v>56675</c:v>
                </c:pt>
                <c:pt idx="8">
                  <c:v>46504</c:v>
                </c:pt>
                <c:pt idx="9">
                  <c:v>60542</c:v>
                </c:pt>
                <c:pt idx="10">
                  <c:v>48774</c:v>
                </c:pt>
                <c:pt idx="11">
                  <c:v>52449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merc'!$B$24:$B$35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merc'!$D$24:$D$35</c:f>
              <c:numCache>
                <c:formatCode>#,##0</c:formatCode>
                <c:ptCount val="12"/>
                <c:pt idx="0">
                  <c:v>43919</c:v>
                </c:pt>
                <c:pt idx="1">
                  <c:v>47411</c:v>
                </c:pt>
                <c:pt idx="2">
                  <c:v>47234</c:v>
                </c:pt>
                <c:pt idx="3">
                  <c:v>47192</c:v>
                </c:pt>
                <c:pt idx="4">
                  <c:v>44145</c:v>
                </c:pt>
                <c:pt idx="5">
                  <c:v>40765</c:v>
                </c:pt>
                <c:pt idx="6">
                  <c:v>45475</c:v>
                </c:pt>
                <c:pt idx="7">
                  <c:v>42289</c:v>
                </c:pt>
                <c:pt idx="8">
                  <c:v>41479</c:v>
                </c:pt>
                <c:pt idx="9">
                  <c:v>54449</c:v>
                </c:pt>
                <c:pt idx="10">
                  <c:v>44733</c:v>
                </c:pt>
                <c:pt idx="11">
                  <c:v>45804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merc'!$B$24:$B$35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merc'!$E$24:$E$29,'graficas evol mensual merc'!$E$30)</c:f>
              <c:numCache>
                <c:formatCode>#,##0</c:formatCode>
                <c:ptCount val="7"/>
                <c:pt idx="0">
                  <c:v>41811</c:v>
                </c:pt>
                <c:pt idx="1">
                  <c:v>42160</c:v>
                </c:pt>
                <c:pt idx="2">
                  <c:v>46291</c:v>
                </c:pt>
                <c:pt idx="3">
                  <c:v>56191</c:v>
                </c:pt>
                <c:pt idx="4">
                  <c:v>42998</c:v>
                </c:pt>
                <c:pt idx="5">
                  <c:v>45854</c:v>
                </c:pt>
                <c:pt idx="6">
                  <c:v>49876</c:v>
                </c:pt>
              </c:numCache>
            </c:numRef>
          </c:val>
        </c:ser>
        <c:marker val="1"/>
        <c:axId val="198960640"/>
        <c:axId val="198976640"/>
      </c:lineChart>
      <c:catAx>
        <c:axId val="198960640"/>
        <c:scaling>
          <c:orientation val="minMax"/>
        </c:scaling>
        <c:axPos val="b"/>
        <c:numFmt formatCode="General" sourceLinked="1"/>
        <c:tickLblPos val="nextTo"/>
        <c:crossAx val="198976640"/>
        <c:crosses val="autoZero"/>
        <c:auto val="1"/>
        <c:lblAlgn val="ctr"/>
        <c:lblOffset val="100"/>
      </c:catAx>
      <c:valAx>
        <c:axId val="198976640"/>
        <c:scaling>
          <c:orientation val="minMax"/>
        </c:scaling>
        <c:axPos val="l"/>
        <c:numFmt formatCode="#,##0" sourceLinked="1"/>
        <c:tickLblPos val="nextTo"/>
        <c:crossAx val="1989606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84"/>
          <c:y val="0.1319199057714969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233" l="0.70000000000000062" r="0.70000000000000062" t="0.75000000000000233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merc'!$B$42:$B$53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merc'!$C$42:$C$53</c:f>
              <c:numCache>
                <c:formatCode>#,##0</c:formatCode>
                <c:ptCount val="12"/>
                <c:pt idx="0">
                  <c:v>14341</c:v>
                </c:pt>
                <c:pt idx="1">
                  <c:v>16732</c:v>
                </c:pt>
                <c:pt idx="2">
                  <c:v>27131</c:v>
                </c:pt>
                <c:pt idx="3">
                  <c:v>24716</c:v>
                </c:pt>
                <c:pt idx="4">
                  <c:v>37820</c:v>
                </c:pt>
                <c:pt idx="5">
                  <c:v>40133</c:v>
                </c:pt>
                <c:pt idx="6">
                  <c:v>45703</c:v>
                </c:pt>
                <c:pt idx="7">
                  <c:v>63676</c:v>
                </c:pt>
                <c:pt idx="8">
                  <c:v>37318</c:v>
                </c:pt>
                <c:pt idx="9">
                  <c:v>24705</c:v>
                </c:pt>
                <c:pt idx="10">
                  <c:v>23122</c:v>
                </c:pt>
                <c:pt idx="11">
                  <c:v>21973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merc'!$B$42:$B$53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merc'!$D$42:$D$53</c:f>
              <c:numCache>
                <c:formatCode>#,##0</c:formatCode>
                <c:ptCount val="12"/>
                <c:pt idx="0">
                  <c:v>17017</c:v>
                </c:pt>
                <c:pt idx="1">
                  <c:v>15268</c:v>
                </c:pt>
                <c:pt idx="2">
                  <c:v>15506</c:v>
                </c:pt>
                <c:pt idx="3">
                  <c:v>28804</c:v>
                </c:pt>
                <c:pt idx="4">
                  <c:v>35470</c:v>
                </c:pt>
                <c:pt idx="5">
                  <c:v>33141</c:v>
                </c:pt>
                <c:pt idx="6">
                  <c:v>47821</c:v>
                </c:pt>
                <c:pt idx="7">
                  <c:v>68499</c:v>
                </c:pt>
                <c:pt idx="8">
                  <c:v>35046</c:v>
                </c:pt>
                <c:pt idx="9">
                  <c:v>27996</c:v>
                </c:pt>
                <c:pt idx="10">
                  <c:v>18367</c:v>
                </c:pt>
                <c:pt idx="11">
                  <c:v>24038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merc'!$B$42:$B$53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merc'!$E$42:$E$47,'graficas evol mensual merc'!$E$48)</c:f>
              <c:numCache>
                <c:formatCode>#,##0</c:formatCode>
                <c:ptCount val="7"/>
                <c:pt idx="0">
                  <c:v>17949</c:v>
                </c:pt>
                <c:pt idx="1">
                  <c:v>17537</c:v>
                </c:pt>
                <c:pt idx="2">
                  <c:v>25081</c:v>
                </c:pt>
                <c:pt idx="3">
                  <c:v>35773</c:v>
                </c:pt>
                <c:pt idx="4">
                  <c:v>40612</c:v>
                </c:pt>
                <c:pt idx="5">
                  <c:v>33192</c:v>
                </c:pt>
                <c:pt idx="6">
                  <c:v>47374</c:v>
                </c:pt>
              </c:numCache>
            </c:numRef>
          </c:val>
        </c:ser>
        <c:marker val="1"/>
        <c:axId val="199035520"/>
        <c:axId val="199070080"/>
      </c:lineChart>
      <c:catAx>
        <c:axId val="199035520"/>
        <c:scaling>
          <c:orientation val="minMax"/>
        </c:scaling>
        <c:axPos val="b"/>
        <c:numFmt formatCode="General" sourceLinked="1"/>
        <c:tickLblPos val="nextTo"/>
        <c:crossAx val="199070080"/>
        <c:crosses val="autoZero"/>
        <c:auto val="1"/>
        <c:lblAlgn val="ctr"/>
        <c:lblOffset val="100"/>
      </c:catAx>
      <c:valAx>
        <c:axId val="199070080"/>
        <c:scaling>
          <c:orientation val="minMax"/>
        </c:scaling>
        <c:axPos val="l"/>
        <c:numFmt formatCode="#,##0" sourceLinked="1"/>
        <c:tickLblPos val="nextTo"/>
        <c:crossAx val="1990355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95"/>
          <c:y val="0.13191990577149701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1940420874952475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merc'!$C$60:$C$71</c:f>
              <c:numCache>
                <c:formatCode>#,##0</c:formatCode>
                <c:ptCount val="12"/>
                <c:pt idx="0">
                  <c:v>21821</c:v>
                </c:pt>
                <c:pt idx="1">
                  <c:v>22634</c:v>
                </c:pt>
                <c:pt idx="2">
                  <c:v>30269</c:v>
                </c:pt>
                <c:pt idx="3">
                  <c:v>25442</c:v>
                </c:pt>
                <c:pt idx="4">
                  <c:v>22935</c:v>
                </c:pt>
                <c:pt idx="5">
                  <c:v>21383</c:v>
                </c:pt>
                <c:pt idx="6">
                  <c:v>19585</c:v>
                </c:pt>
                <c:pt idx="7">
                  <c:v>20729</c:v>
                </c:pt>
                <c:pt idx="8">
                  <c:v>19180</c:v>
                </c:pt>
                <c:pt idx="9">
                  <c:v>21705</c:v>
                </c:pt>
                <c:pt idx="10">
                  <c:v>24718</c:v>
                </c:pt>
                <c:pt idx="11">
                  <c:v>18875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merc'!$D$60:$D$71</c:f>
              <c:numCache>
                <c:formatCode>#,##0</c:formatCode>
                <c:ptCount val="12"/>
                <c:pt idx="0">
                  <c:v>19733</c:v>
                </c:pt>
                <c:pt idx="1">
                  <c:v>17740</c:v>
                </c:pt>
                <c:pt idx="2">
                  <c:v>18939</c:v>
                </c:pt>
                <c:pt idx="3">
                  <c:v>20387</c:v>
                </c:pt>
                <c:pt idx="4">
                  <c:v>15211</c:v>
                </c:pt>
                <c:pt idx="5">
                  <c:v>15773</c:v>
                </c:pt>
                <c:pt idx="6">
                  <c:v>17699</c:v>
                </c:pt>
                <c:pt idx="7">
                  <c:v>16542</c:v>
                </c:pt>
                <c:pt idx="8">
                  <c:v>17237</c:v>
                </c:pt>
                <c:pt idx="9">
                  <c:v>20125</c:v>
                </c:pt>
                <c:pt idx="10">
                  <c:v>21499</c:v>
                </c:pt>
                <c:pt idx="11">
                  <c:v>18167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merc'!$E$60:$E$65,'graficas evol mensual merc'!$E$66)</c:f>
              <c:numCache>
                <c:formatCode>#,##0</c:formatCode>
                <c:ptCount val="7"/>
                <c:pt idx="0">
                  <c:v>20047</c:v>
                </c:pt>
                <c:pt idx="1">
                  <c:v>17950</c:v>
                </c:pt>
                <c:pt idx="2">
                  <c:v>20964</c:v>
                </c:pt>
                <c:pt idx="3">
                  <c:v>19534</c:v>
                </c:pt>
                <c:pt idx="4">
                  <c:v>17833</c:v>
                </c:pt>
                <c:pt idx="5">
                  <c:v>17576</c:v>
                </c:pt>
                <c:pt idx="6">
                  <c:v>18520</c:v>
                </c:pt>
              </c:numCache>
            </c:numRef>
          </c:val>
        </c:ser>
        <c:marker val="1"/>
        <c:axId val="199076480"/>
        <c:axId val="199123712"/>
      </c:lineChart>
      <c:catAx>
        <c:axId val="199076480"/>
        <c:scaling>
          <c:orientation val="minMax"/>
        </c:scaling>
        <c:axPos val="b"/>
        <c:numFmt formatCode="General" sourceLinked="1"/>
        <c:tickLblPos val="nextTo"/>
        <c:crossAx val="199123712"/>
        <c:crosses val="autoZero"/>
        <c:auto val="1"/>
        <c:lblAlgn val="ctr"/>
        <c:lblOffset val="100"/>
      </c:catAx>
      <c:valAx>
        <c:axId val="199123712"/>
        <c:scaling>
          <c:orientation val="minMax"/>
        </c:scaling>
        <c:axPos val="l"/>
        <c:numFmt formatCode="#,##0" sourceLinked="1"/>
        <c:tickLblPos val="nextTo"/>
        <c:crossAx val="1990764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06"/>
          <c:y val="0.13191990577149712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19404208749524757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merc'!$B$78:$B$89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merc'!$C$78:$C$89</c:f>
              <c:numCache>
                <c:formatCode>#,##0</c:formatCode>
                <c:ptCount val="12"/>
                <c:pt idx="0">
                  <c:v>6238</c:v>
                </c:pt>
                <c:pt idx="1">
                  <c:v>6746</c:v>
                </c:pt>
                <c:pt idx="2">
                  <c:v>8195</c:v>
                </c:pt>
                <c:pt idx="3">
                  <c:v>2711</c:v>
                </c:pt>
                <c:pt idx="4">
                  <c:v>754</c:v>
                </c:pt>
                <c:pt idx="5">
                  <c:v>927</c:v>
                </c:pt>
                <c:pt idx="6">
                  <c:v>1384</c:v>
                </c:pt>
                <c:pt idx="7">
                  <c:v>987</c:v>
                </c:pt>
                <c:pt idx="8">
                  <c:v>1112</c:v>
                </c:pt>
                <c:pt idx="9">
                  <c:v>3414</c:v>
                </c:pt>
                <c:pt idx="10">
                  <c:v>6719</c:v>
                </c:pt>
                <c:pt idx="11">
                  <c:v>5183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merc'!$B$78:$B$89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merc'!$D$78:$D$89</c:f>
              <c:numCache>
                <c:formatCode>#,##0</c:formatCode>
                <c:ptCount val="12"/>
                <c:pt idx="0">
                  <c:v>6032</c:v>
                </c:pt>
                <c:pt idx="1">
                  <c:v>6212</c:v>
                </c:pt>
                <c:pt idx="2">
                  <c:v>6400</c:v>
                </c:pt>
                <c:pt idx="3">
                  <c:v>2309</c:v>
                </c:pt>
                <c:pt idx="4">
                  <c:v>841</c:v>
                </c:pt>
                <c:pt idx="5">
                  <c:v>988</c:v>
                </c:pt>
                <c:pt idx="6">
                  <c:v>915</c:v>
                </c:pt>
                <c:pt idx="7">
                  <c:v>680</c:v>
                </c:pt>
                <c:pt idx="8">
                  <c:v>1033</c:v>
                </c:pt>
                <c:pt idx="9">
                  <c:v>2250</c:v>
                </c:pt>
                <c:pt idx="10">
                  <c:v>3635</c:v>
                </c:pt>
                <c:pt idx="11">
                  <c:v>3202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merc'!$B$78:$B$89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merc'!$E$78:$E$83,'graficas evol mensual merc'!$E$84)</c:f>
              <c:numCache>
                <c:formatCode>#,##0</c:formatCode>
                <c:ptCount val="7"/>
                <c:pt idx="0">
                  <c:v>4660</c:v>
                </c:pt>
                <c:pt idx="1">
                  <c:v>4613</c:v>
                </c:pt>
                <c:pt idx="2">
                  <c:v>4525</c:v>
                </c:pt>
                <c:pt idx="3">
                  <c:v>2032</c:v>
                </c:pt>
                <c:pt idx="4">
                  <c:v>553</c:v>
                </c:pt>
                <c:pt idx="5">
                  <c:v>700</c:v>
                </c:pt>
                <c:pt idx="6">
                  <c:v>720</c:v>
                </c:pt>
              </c:numCache>
            </c:numRef>
          </c:val>
        </c:ser>
        <c:marker val="1"/>
        <c:axId val="199133056"/>
        <c:axId val="199172864"/>
      </c:lineChart>
      <c:catAx>
        <c:axId val="199133056"/>
        <c:scaling>
          <c:orientation val="minMax"/>
        </c:scaling>
        <c:axPos val="b"/>
        <c:numFmt formatCode="General" sourceLinked="1"/>
        <c:tickLblPos val="nextTo"/>
        <c:crossAx val="199172864"/>
        <c:crosses val="autoZero"/>
        <c:auto val="1"/>
        <c:lblAlgn val="ctr"/>
        <c:lblOffset val="100"/>
      </c:catAx>
      <c:valAx>
        <c:axId val="199172864"/>
        <c:scaling>
          <c:orientation val="minMax"/>
        </c:scaling>
        <c:axPos val="l"/>
        <c:numFmt formatCode="#,##0" sourceLinked="1"/>
        <c:tickLblPos val="nextTo"/>
        <c:crossAx val="1991330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17"/>
          <c:y val="0.13191990577149726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322" l="0.70000000000000062" r="0.70000000000000062" t="0.75000000000000322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19404208749524768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merc'!$B$96:$B$107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merc'!$C$96:$C$107</c:f>
              <c:numCache>
                <c:formatCode>#,##0</c:formatCode>
                <c:ptCount val="12"/>
                <c:pt idx="0">
                  <c:v>3257</c:v>
                </c:pt>
                <c:pt idx="1">
                  <c:v>3800</c:v>
                </c:pt>
                <c:pt idx="2">
                  <c:v>3847</c:v>
                </c:pt>
                <c:pt idx="3">
                  <c:v>1094</c:v>
                </c:pt>
                <c:pt idx="4">
                  <c:v>252</c:v>
                </c:pt>
                <c:pt idx="5">
                  <c:v>24</c:v>
                </c:pt>
                <c:pt idx="6">
                  <c:v>38</c:v>
                </c:pt>
                <c:pt idx="7">
                  <c:v>38</c:v>
                </c:pt>
                <c:pt idx="8">
                  <c:v>29</c:v>
                </c:pt>
                <c:pt idx="9">
                  <c:v>2052</c:v>
                </c:pt>
                <c:pt idx="10">
                  <c:v>2582</c:v>
                </c:pt>
                <c:pt idx="11">
                  <c:v>3537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merc'!$B$96:$B$107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merc'!$D$96:$D$107</c:f>
              <c:numCache>
                <c:formatCode>#,##0</c:formatCode>
                <c:ptCount val="12"/>
                <c:pt idx="0">
                  <c:v>3203</c:v>
                </c:pt>
                <c:pt idx="1">
                  <c:v>3313</c:v>
                </c:pt>
                <c:pt idx="2">
                  <c:v>3631</c:v>
                </c:pt>
                <c:pt idx="3">
                  <c:v>1586</c:v>
                </c:pt>
                <c:pt idx="4">
                  <c:v>158</c:v>
                </c:pt>
                <c:pt idx="5">
                  <c:v>57</c:v>
                </c:pt>
                <c:pt idx="6">
                  <c:v>202</c:v>
                </c:pt>
                <c:pt idx="7">
                  <c:v>26</c:v>
                </c:pt>
                <c:pt idx="8">
                  <c:v>157</c:v>
                </c:pt>
                <c:pt idx="9">
                  <c:v>2442</c:v>
                </c:pt>
                <c:pt idx="10">
                  <c:v>4145</c:v>
                </c:pt>
                <c:pt idx="11">
                  <c:v>3519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merc'!$B$96:$B$107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merc'!$E$96:$E$101,'graficas evol mensual merc'!$E$102)</c:f>
              <c:numCache>
                <c:formatCode>#,##0</c:formatCode>
                <c:ptCount val="7"/>
                <c:pt idx="0">
                  <c:v>3556</c:v>
                </c:pt>
                <c:pt idx="1">
                  <c:v>3260</c:v>
                </c:pt>
                <c:pt idx="2">
                  <c:v>3844</c:v>
                </c:pt>
                <c:pt idx="3">
                  <c:v>1328</c:v>
                </c:pt>
                <c:pt idx="4">
                  <c:v>66</c:v>
                </c:pt>
                <c:pt idx="5">
                  <c:v>103</c:v>
                </c:pt>
                <c:pt idx="6">
                  <c:v>121</c:v>
                </c:pt>
              </c:numCache>
            </c:numRef>
          </c:val>
        </c:ser>
        <c:marker val="1"/>
        <c:axId val="199231360"/>
        <c:axId val="199232896"/>
      </c:lineChart>
      <c:catAx>
        <c:axId val="199231360"/>
        <c:scaling>
          <c:orientation val="minMax"/>
        </c:scaling>
        <c:axPos val="b"/>
        <c:numFmt formatCode="General" sourceLinked="1"/>
        <c:tickLblPos val="nextTo"/>
        <c:crossAx val="199232896"/>
        <c:crosses val="autoZero"/>
        <c:auto val="1"/>
        <c:lblAlgn val="ctr"/>
        <c:lblOffset val="100"/>
      </c:catAx>
      <c:valAx>
        <c:axId val="199232896"/>
        <c:scaling>
          <c:orientation val="minMax"/>
        </c:scaling>
        <c:axPos val="l"/>
        <c:numFmt formatCode="#,##0" sourceLinked="1"/>
        <c:tickLblPos val="nextTo"/>
        <c:crossAx val="1992313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34"/>
          <c:y val="0.13191990577149737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19404208749524776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merc'!$B$114:$B$125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merc'!$C$114:$C$125</c:f>
              <c:numCache>
                <c:formatCode>#,##0</c:formatCode>
                <c:ptCount val="12"/>
                <c:pt idx="0">
                  <c:v>3278</c:v>
                </c:pt>
                <c:pt idx="1">
                  <c:v>3620</c:v>
                </c:pt>
                <c:pt idx="2">
                  <c:v>4209</c:v>
                </c:pt>
                <c:pt idx="3">
                  <c:v>1000</c:v>
                </c:pt>
                <c:pt idx="4">
                  <c:v>355</c:v>
                </c:pt>
                <c:pt idx="5">
                  <c:v>362</c:v>
                </c:pt>
                <c:pt idx="6">
                  <c:v>608</c:v>
                </c:pt>
                <c:pt idx="7">
                  <c:v>327</c:v>
                </c:pt>
                <c:pt idx="8">
                  <c:v>667</c:v>
                </c:pt>
                <c:pt idx="9">
                  <c:v>2685</c:v>
                </c:pt>
                <c:pt idx="10">
                  <c:v>4905</c:v>
                </c:pt>
                <c:pt idx="11">
                  <c:v>2871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merc'!$B$114:$B$125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merc'!$D$114:$D$125</c:f>
              <c:numCache>
                <c:formatCode>#,##0</c:formatCode>
                <c:ptCount val="12"/>
                <c:pt idx="0">
                  <c:v>3080</c:v>
                </c:pt>
                <c:pt idx="1">
                  <c:v>3805</c:v>
                </c:pt>
                <c:pt idx="2">
                  <c:v>4192</c:v>
                </c:pt>
                <c:pt idx="3">
                  <c:v>1386</c:v>
                </c:pt>
                <c:pt idx="4">
                  <c:v>65</c:v>
                </c:pt>
                <c:pt idx="5">
                  <c:v>409</c:v>
                </c:pt>
                <c:pt idx="6">
                  <c:v>736</c:v>
                </c:pt>
                <c:pt idx="7">
                  <c:v>187</c:v>
                </c:pt>
                <c:pt idx="8">
                  <c:v>500</c:v>
                </c:pt>
                <c:pt idx="9">
                  <c:v>1605</c:v>
                </c:pt>
                <c:pt idx="10">
                  <c:v>4044</c:v>
                </c:pt>
                <c:pt idx="11">
                  <c:v>2556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merc'!$B$114:$B$125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merc'!$E$114:$E$119,'graficas evol mensual merc'!$E$120)</c:f>
              <c:numCache>
                <c:formatCode>#,##0</c:formatCode>
                <c:ptCount val="7"/>
                <c:pt idx="0">
                  <c:v>3035</c:v>
                </c:pt>
                <c:pt idx="1">
                  <c:v>2921</c:v>
                </c:pt>
                <c:pt idx="2">
                  <c:v>2920</c:v>
                </c:pt>
                <c:pt idx="3">
                  <c:v>796</c:v>
                </c:pt>
                <c:pt idx="4">
                  <c:v>550</c:v>
                </c:pt>
                <c:pt idx="5">
                  <c:v>692</c:v>
                </c:pt>
                <c:pt idx="6">
                  <c:v>960</c:v>
                </c:pt>
              </c:numCache>
            </c:numRef>
          </c:val>
        </c:ser>
        <c:marker val="1"/>
        <c:axId val="199263744"/>
        <c:axId val="199286144"/>
      </c:lineChart>
      <c:catAx>
        <c:axId val="199263744"/>
        <c:scaling>
          <c:orientation val="minMax"/>
        </c:scaling>
        <c:axPos val="b"/>
        <c:numFmt formatCode="General" sourceLinked="1"/>
        <c:tickLblPos val="nextTo"/>
        <c:crossAx val="199286144"/>
        <c:crosses val="autoZero"/>
        <c:auto val="1"/>
        <c:lblAlgn val="ctr"/>
        <c:lblOffset val="100"/>
      </c:catAx>
      <c:valAx>
        <c:axId val="199286144"/>
        <c:scaling>
          <c:orientation val="minMax"/>
        </c:scaling>
        <c:axPos val="l"/>
        <c:numFmt formatCode="#,##0" sourceLinked="1"/>
        <c:tickLblPos val="nextTo"/>
        <c:crossAx val="1992637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45"/>
          <c:y val="0.13191990577149751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366" l="0.70000000000000062" r="0.70000000000000062" t="0.7500000000000036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merc'!$B$132:$B$143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merc'!$C$132:$C$143</c:f>
              <c:numCache>
                <c:formatCode>#,##0</c:formatCode>
                <c:ptCount val="12"/>
                <c:pt idx="0">
                  <c:v>5160</c:v>
                </c:pt>
                <c:pt idx="1">
                  <c:v>4903</c:v>
                </c:pt>
                <c:pt idx="2">
                  <c:v>6459</c:v>
                </c:pt>
                <c:pt idx="3">
                  <c:v>2575</c:v>
                </c:pt>
                <c:pt idx="4">
                  <c:v>276</c:v>
                </c:pt>
                <c:pt idx="5">
                  <c:v>416</c:v>
                </c:pt>
                <c:pt idx="6">
                  <c:v>504</c:v>
                </c:pt>
                <c:pt idx="7">
                  <c:v>378</c:v>
                </c:pt>
                <c:pt idx="8">
                  <c:v>657</c:v>
                </c:pt>
                <c:pt idx="9">
                  <c:v>3707</c:v>
                </c:pt>
                <c:pt idx="10">
                  <c:v>6325</c:v>
                </c:pt>
                <c:pt idx="11">
                  <c:v>5358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merc'!$B$132:$B$143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merc'!$D$132:$D$143</c:f>
              <c:numCache>
                <c:formatCode>#,##0</c:formatCode>
                <c:ptCount val="12"/>
                <c:pt idx="0">
                  <c:v>6139</c:v>
                </c:pt>
                <c:pt idx="1">
                  <c:v>5776</c:v>
                </c:pt>
                <c:pt idx="2">
                  <c:v>6455</c:v>
                </c:pt>
                <c:pt idx="3">
                  <c:v>3337</c:v>
                </c:pt>
                <c:pt idx="4">
                  <c:v>805</c:v>
                </c:pt>
                <c:pt idx="5">
                  <c:v>1046</c:v>
                </c:pt>
                <c:pt idx="6">
                  <c:v>1241</c:v>
                </c:pt>
                <c:pt idx="7">
                  <c:v>418</c:v>
                </c:pt>
                <c:pt idx="8">
                  <c:v>1514</c:v>
                </c:pt>
                <c:pt idx="9">
                  <c:v>4521</c:v>
                </c:pt>
                <c:pt idx="10">
                  <c:v>5413</c:v>
                </c:pt>
                <c:pt idx="11">
                  <c:v>5340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merc'!$B$132:$B$143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merc'!$E$132:$E$137,'graficas evol mensual merc'!$E$138)</c:f>
              <c:numCache>
                <c:formatCode>#,##0</c:formatCode>
                <c:ptCount val="7"/>
                <c:pt idx="0">
                  <c:v>6000</c:v>
                </c:pt>
                <c:pt idx="1">
                  <c:v>4567</c:v>
                </c:pt>
                <c:pt idx="2">
                  <c:v>5005</c:v>
                </c:pt>
                <c:pt idx="3">
                  <c:v>2920</c:v>
                </c:pt>
                <c:pt idx="4">
                  <c:v>760</c:v>
                </c:pt>
                <c:pt idx="5">
                  <c:v>1113</c:v>
                </c:pt>
                <c:pt idx="6">
                  <c:v>1259</c:v>
                </c:pt>
              </c:numCache>
            </c:numRef>
          </c:val>
        </c:ser>
        <c:marker val="1"/>
        <c:axId val="199403776"/>
        <c:axId val="199411584"/>
      </c:lineChart>
      <c:catAx>
        <c:axId val="199403776"/>
        <c:scaling>
          <c:orientation val="minMax"/>
        </c:scaling>
        <c:axPos val="b"/>
        <c:numFmt formatCode="General" sourceLinked="1"/>
        <c:tickLblPos val="nextTo"/>
        <c:crossAx val="199411584"/>
        <c:crosses val="autoZero"/>
        <c:auto val="1"/>
        <c:lblAlgn val="ctr"/>
        <c:lblOffset val="100"/>
      </c:catAx>
      <c:valAx>
        <c:axId val="199411584"/>
        <c:scaling>
          <c:orientation val="minMax"/>
        </c:scaling>
        <c:axPos val="l"/>
        <c:numFmt formatCode="#,##0" sourceLinked="1"/>
        <c:tickLblPos val="nextTo"/>
        <c:crossAx val="1994037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26"/>
          <c:y val="0.15547703180212147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merc'!$B$150:$B$161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merc'!$C$150:$C$161</c:f>
              <c:numCache>
                <c:formatCode>#,##0</c:formatCode>
                <c:ptCount val="12"/>
                <c:pt idx="0">
                  <c:v>4141</c:v>
                </c:pt>
                <c:pt idx="1">
                  <c:v>5584</c:v>
                </c:pt>
                <c:pt idx="2">
                  <c:v>4323</c:v>
                </c:pt>
                <c:pt idx="3">
                  <c:v>5181</c:v>
                </c:pt>
                <c:pt idx="4">
                  <c:v>2857</c:v>
                </c:pt>
                <c:pt idx="5">
                  <c:v>2330</c:v>
                </c:pt>
                <c:pt idx="6">
                  <c:v>3805</c:v>
                </c:pt>
                <c:pt idx="7">
                  <c:v>6039</c:v>
                </c:pt>
                <c:pt idx="8">
                  <c:v>2442</c:v>
                </c:pt>
                <c:pt idx="9">
                  <c:v>3686</c:v>
                </c:pt>
                <c:pt idx="10">
                  <c:v>2977</c:v>
                </c:pt>
                <c:pt idx="11">
                  <c:v>2705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merc'!$B$150:$B$161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merc'!$D$150:$D$161</c:f>
              <c:numCache>
                <c:formatCode>#,##0</c:formatCode>
                <c:ptCount val="12"/>
                <c:pt idx="0">
                  <c:v>3641</c:v>
                </c:pt>
                <c:pt idx="1">
                  <c:v>4571</c:v>
                </c:pt>
                <c:pt idx="2">
                  <c:v>3855</c:v>
                </c:pt>
                <c:pt idx="3">
                  <c:v>5416</c:v>
                </c:pt>
                <c:pt idx="4">
                  <c:v>2479</c:v>
                </c:pt>
                <c:pt idx="5">
                  <c:v>1838</c:v>
                </c:pt>
                <c:pt idx="6">
                  <c:v>2986</c:v>
                </c:pt>
                <c:pt idx="7">
                  <c:v>4721</c:v>
                </c:pt>
                <c:pt idx="8">
                  <c:v>1922</c:v>
                </c:pt>
                <c:pt idx="9">
                  <c:v>3398</c:v>
                </c:pt>
                <c:pt idx="10">
                  <c:v>2795</c:v>
                </c:pt>
                <c:pt idx="11">
                  <c:v>2885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merc'!$B$150:$B$161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merc'!$E$150:$E$155,'graficas evol mensual merc'!$E$156)</c:f>
              <c:numCache>
                <c:formatCode>#,##0</c:formatCode>
                <c:ptCount val="7"/>
                <c:pt idx="0">
                  <c:v>3761</c:v>
                </c:pt>
                <c:pt idx="1">
                  <c:v>4360</c:v>
                </c:pt>
                <c:pt idx="2">
                  <c:v>3219</c:v>
                </c:pt>
                <c:pt idx="3">
                  <c:v>5152</c:v>
                </c:pt>
                <c:pt idx="4">
                  <c:v>2337</c:v>
                </c:pt>
                <c:pt idx="5">
                  <c:v>1911</c:v>
                </c:pt>
                <c:pt idx="6">
                  <c:v>3998</c:v>
                </c:pt>
              </c:numCache>
            </c:numRef>
          </c:val>
        </c:ser>
        <c:marker val="1"/>
        <c:axId val="199472640"/>
        <c:axId val="199474176"/>
      </c:lineChart>
      <c:catAx>
        <c:axId val="199472640"/>
        <c:scaling>
          <c:orientation val="minMax"/>
        </c:scaling>
        <c:axPos val="b"/>
        <c:numFmt formatCode="General" sourceLinked="1"/>
        <c:tickLblPos val="nextTo"/>
        <c:crossAx val="199474176"/>
        <c:crosses val="autoZero"/>
        <c:auto val="1"/>
        <c:lblAlgn val="ctr"/>
        <c:lblOffset val="100"/>
      </c:catAx>
      <c:valAx>
        <c:axId val="199474176"/>
        <c:scaling>
          <c:orientation val="minMax"/>
        </c:scaling>
        <c:axPos val="l"/>
        <c:numFmt formatCode="#,##0" sourceLinked="1"/>
        <c:tickLblPos val="nextTo"/>
        <c:crossAx val="1994726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43"/>
          <c:y val="0.15547703180212163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11" l="0.70000000000000062" r="0.70000000000000062" t="0.75000000000000411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merc'!$B$168:$B$179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merc'!$C$168:$C$179</c:f>
              <c:numCache>
                <c:formatCode>#,##0</c:formatCode>
                <c:ptCount val="12"/>
                <c:pt idx="0">
                  <c:v>5075</c:v>
                </c:pt>
                <c:pt idx="1">
                  <c:v>8233</c:v>
                </c:pt>
                <c:pt idx="2">
                  <c:v>6610</c:v>
                </c:pt>
                <c:pt idx="3">
                  <c:v>8249</c:v>
                </c:pt>
                <c:pt idx="4">
                  <c:v>5659</c:v>
                </c:pt>
                <c:pt idx="5">
                  <c:v>4456</c:v>
                </c:pt>
                <c:pt idx="6">
                  <c:v>7540</c:v>
                </c:pt>
                <c:pt idx="7">
                  <c:v>5634</c:v>
                </c:pt>
                <c:pt idx="8">
                  <c:v>4799</c:v>
                </c:pt>
                <c:pt idx="9">
                  <c:v>8065</c:v>
                </c:pt>
                <c:pt idx="10">
                  <c:v>4990</c:v>
                </c:pt>
                <c:pt idx="11">
                  <c:v>5219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merc'!$B$168:$B$179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merc'!$D$168:$D$179</c:f>
              <c:numCache>
                <c:formatCode>#,##0</c:formatCode>
                <c:ptCount val="12"/>
                <c:pt idx="0">
                  <c:v>4571</c:v>
                </c:pt>
                <c:pt idx="1">
                  <c:v>5803</c:v>
                </c:pt>
                <c:pt idx="2">
                  <c:v>4978</c:v>
                </c:pt>
                <c:pt idx="3">
                  <c:v>6271</c:v>
                </c:pt>
                <c:pt idx="4">
                  <c:v>4040</c:v>
                </c:pt>
                <c:pt idx="5">
                  <c:v>3104</c:v>
                </c:pt>
                <c:pt idx="6">
                  <c:v>6939</c:v>
                </c:pt>
                <c:pt idx="7">
                  <c:v>5915</c:v>
                </c:pt>
                <c:pt idx="8">
                  <c:v>3937</c:v>
                </c:pt>
                <c:pt idx="9">
                  <c:v>5676</c:v>
                </c:pt>
                <c:pt idx="10">
                  <c:v>3947</c:v>
                </c:pt>
                <c:pt idx="11">
                  <c:v>4010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merc'!$B$168:$B$179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merc'!$E$168:$E$173,'graficas evol mensual merc'!$E$174)</c:f>
              <c:numCache>
                <c:formatCode>#,##0</c:formatCode>
                <c:ptCount val="7"/>
                <c:pt idx="0">
                  <c:v>4177</c:v>
                </c:pt>
                <c:pt idx="1">
                  <c:v>5435</c:v>
                </c:pt>
                <c:pt idx="2">
                  <c:v>4994</c:v>
                </c:pt>
                <c:pt idx="3">
                  <c:v>5201</c:v>
                </c:pt>
                <c:pt idx="4">
                  <c:v>5808</c:v>
                </c:pt>
                <c:pt idx="5">
                  <c:v>2532</c:v>
                </c:pt>
                <c:pt idx="6">
                  <c:v>5746</c:v>
                </c:pt>
              </c:numCache>
            </c:numRef>
          </c:val>
        </c:ser>
        <c:marker val="1"/>
        <c:axId val="199583616"/>
        <c:axId val="199601152"/>
      </c:lineChart>
      <c:catAx>
        <c:axId val="199583616"/>
        <c:scaling>
          <c:orientation val="minMax"/>
        </c:scaling>
        <c:axPos val="b"/>
        <c:numFmt formatCode="General" sourceLinked="1"/>
        <c:tickLblPos val="nextTo"/>
        <c:crossAx val="199601152"/>
        <c:crosses val="autoZero"/>
        <c:auto val="1"/>
        <c:lblAlgn val="ctr"/>
        <c:lblOffset val="100"/>
      </c:catAx>
      <c:valAx>
        <c:axId val="199601152"/>
        <c:scaling>
          <c:orientation val="minMax"/>
        </c:scaling>
        <c:axPos val="l"/>
        <c:numFmt formatCode="#,##0" sourceLinked="1"/>
        <c:tickLblPos val="nextTo"/>
        <c:crossAx val="1995836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65"/>
          <c:y val="0.1554770318021218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33" l="0.70000000000000062" r="0.70000000000000062" t="0.75000000000000433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merc'!$B$186:$B$197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merc'!$C$186:$C$197</c:f>
              <c:numCache>
                <c:formatCode>#,##0</c:formatCode>
                <c:ptCount val="12"/>
                <c:pt idx="0">
                  <c:v>5586</c:v>
                </c:pt>
                <c:pt idx="1">
                  <c:v>5945</c:v>
                </c:pt>
                <c:pt idx="2">
                  <c:v>6819</c:v>
                </c:pt>
                <c:pt idx="3">
                  <c:v>4431</c:v>
                </c:pt>
                <c:pt idx="4">
                  <c:v>3051</c:v>
                </c:pt>
                <c:pt idx="5">
                  <c:v>3620</c:v>
                </c:pt>
                <c:pt idx="6">
                  <c:v>4409</c:v>
                </c:pt>
                <c:pt idx="7">
                  <c:v>5121</c:v>
                </c:pt>
                <c:pt idx="8">
                  <c:v>3614</c:v>
                </c:pt>
                <c:pt idx="9">
                  <c:v>4939</c:v>
                </c:pt>
                <c:pt idx="10">
                  <c:v>5044</c:v>
                </c:pt>
                <c:pt idx="11">
                  <c:v>5761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merc'!$B$186:$B$197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merc'!$D$186:$D$197</c:f>
              <c:numCache>
                <c:formatCode>#,##0</c:formatCode>
                <c:ptCount val="12"/>
                <c:pt idx="0">
                  <c:v>6210</c:v>
                </c:pt>
                <c:pt idx="1">
                  <c:v>4738</c:v>
                </c:pt>
                <c:pt idx="2">
                  <c:v>4487</c:v>
                </c:pt>
                <c:pt idx="3">
                  <c:v>6813</c:v>
                </c:pt>
                <c:pt idx="4">
                  <c:v>3425</c:v>
                </c:pt>
                <c:pt idx="5">
                  <c:v>3336</c:v>
                </c:pt>
                <c:pt idx="6">
                  <c:v>5674</c:v>
                </c:pt>
                <c:pt idx="7">
                  <c:v>5707</c:v>
                </c:pt>
                <c:pt idx="8">
                  <c:v>4010</c:v>
                </c:pt>
                <c:pt idx="9">
                  <c:v>4533</c:v>
                </c:pt>
                <c:pt idx="10">
                  <c:v>6045</c:v>
                </c:pt>
                <c:pt idx="11">
                  <c:v>6014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merc'!$B$186:$B$197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merc'!$E$186:$E$191,'graficas evol mensual merc'!$E$192)</c:f>
              <c:numCache>
                <c:formatCode>#,##0</c:formatCode>
                <c:ptCount val="7"/>
                <c:pt idx="0">
                  <c:v>6177</c:v>
                </c:pt>
                <c:pt idx="1">
                  <c:v>5258</c:v>
                </c:pt>
                <c:pt idx="2">
                  <c:v>4699</c:v>
                </c:pt>
                <c:pt idx="3">
                  <c:v>7452</c:v>
                </c:pt>
                <c:pt idx="4">
                  <c:v>4176</c:v>
                </c:pt>
                <c:pt idx="5">
                  <c:v>4162</c:v>
                </c:pt>
                <c:pt idx="6">
                  <c:v>6241</c:v>
                </c:pt>
              </c:numCache>
            </c:numRef>
          </c:val>
        </c:ser>
        <c:marker val="1"/>
        <c:axId val="199651712"/>
        <c:axId val="199670784"/>
      </c:lineChart>
      <c:catAx>
        <c:axId val="199651712"/>
        <c:scaling>
          <c:orientation val="minMax"/>
        </c:scaling>
        <c:axPos val="b"/>
        <c:numFmt formatCode="General" sourceLinked="1"/>
        <c:tickLblPos val="nextTo"/>
        <c:crossAx val="199670784"/>
        <c:crosses val="autoZero"/>
        <c:auto val="1"/>
        <c:lblAlgn val="ctr"/>
        <c:lblOffset val="100"/>
      </c:catAx>
      <c:valAx>
        <c:axId val="199670784"/>
        <c:scaling>
          <c:orientation val="minMax"/>
        </c:scaling>
        <c:axPos val="l"/>
        <c:numFmt formatCode="#,##0" sourceLinked="1"/>
        <c:tickLblPos val="nextTo"/>
        <c:crossAx val="1996517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87"/>
          <c:y val="0.15547703180212197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55" l="0.70000000000000062" r="0.70000000000000062" t="0.7500000000000045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7261038158062304"/>
          <c:y val="0.14084507042253541"/>
        </c:manualLayout>
      </c:layout>
      <c:txPr>
        <a:bodyPr/>
        <a:lstStyle/>
        <a:p>
          <a:pPr>
            <a:defRPr sz="12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7911"/>
          <c:w val="0.91263650546021846"/>
          <c:h val="0.30884181730804894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tipología'!$F$4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/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tipología'!$F$6:$F$8,'Alojados zona tipología'!$F$10:$F$12,'Alojados zona tipología'!$F$14:$F$16)</c:f>
              <c:numCache>
                <c:formatCode>#,##0_)</c:formatCode>
                <c:ptCount val="9"/>
                <c:pt idx="0">
                  <c:v>2766193</c:v>
                </c:pt>
                <c:pt idx="1">
                  <c:v>1677828</c:v>
                </c:pt>
                <c:pt idx="2">
                  <c:v>1088365</c:v>
                </c:pt>
                <c:pt idx="3">
                  <c:v>2187150</c:v>
                </c:pt>
                <c:pt idx="4">
                  <c:v>1249058</c:v>
                </c:pt>
                <c:pt idx="5">
                  <c:v>938092</c:v>
                </c:pt>
                <c:pt idx="6">
                  <c:v>978683</c:v>
                </c:pt>
                <c:pt idx="7">
                  <c:v>644123</c:v>
                </c:pt>
                <c:pt idx="8">
                  <c:v>334560</c:v>
                </c:pt>
              </c:numCache>
            </c:numRef>
          </c:val>
        </c:ser>
        <c:dLbls>
          <c:showVal val="1"/>
        </c:dLbls>
        <c:gapWidth val="30"/>
        <c:axId val="195465984"/>
        <c:axId val="195467904"/>
      </c:barChart>
      <c:catAx>
        <c:axId val="1954659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5467904"/>
        <c:crosses val="autoZero"/>
        <c:auto val="1"/>
        <c:lblAlgn val="ctr"/>
        <c:lblOffset val="100"/>
        <c:tickLblSkip val="1"/>
        <c:tickMarkSkip val="1"/>
      </c:catAx>
      <c:valAx>
        <c:axId val="195467904"/>
        <c:scaling>
          <c:orientation val="minMax"/>
        </c:scaling>
        <c:delete val="1"/>
        <c:axPos val="l"/>
        <c:numFmt formatCode="#,##0_)" sourceLinked="1"/>
        <c:tickLblPos val="none"/>
        <c:crossAx val="195465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888" r="0.75000000000000888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merc'!$B$204:$B$215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merc'!$C$204:$C$215</c:f>
              <c:numCache>
                <c:formatCode>#,##0</c:formatCode>
                <c:ptCount val="12"/>
                <c:pt idx="0">
                  <c:v>4693</c:v>
                </c:pt>
                <c:pt idx="1">
                  <c:v>3585</c:v>
                </c:pt>
                <c:pt idx="2">
                  <c:v>3059</c:v>
                </c:pt>
                <c:pt idx="3">
                  <c:v>2539</c:v>
                </c:pt>
                <c:pt idx="4">
                  <c:v>2353</c:v>
                </c:pt>
                <c:pt idx="5">
                  <c:v>3818</c:v>
                </c:pt>
                <c:pt idx="6">
                  <c:v>3211</c:v>
                </c:pt>
                <c:pt idx="7">
                  <c:v>6840</c:v>
                </c:pt>
                <c:pt idx="8">
                  <c:v>2382</c:v>
                </c:pt>
                <c:pt idx="9">
                  <c:v>2256</c:v>
                </c:pt>
                <c:pt idx="10">
                  <c:v>2578</c:v>
                </c:pt>
                <c:pt idx="11">
                  <c:v>3461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merc'!$B$204:$B$215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merc'!$D$204:$D$215</c:f>
              <c:numCache>
                <c:formatCode>#,##0</c:formatCode>
                <c:ptCount val="12"/>
                <c:pt idx="0">
                  <c:v>4907</c:v>
                </c:pt>
                <c:pt idx="1">
                  <c:v>4002</c:v>
                </c:pt>
                <c:pt idx="2">
                  <c:v>3281</c:v>
                </c:pt>
                <c:pt idx="3">
                  <c:v>2814</c:v>
                </c:pt>
                <c:pt idx="4">
                  <c:v>2040</c:v>
                </c:pt>
                <c:pt idx="5">
                  <c:v>2516</c:v>
                </c:pt>
                <c:pt idx="6">
                  <c:v>2931</c:v>
                </c:pt>
                <c:pt idx="7">
                  <c:v>7030</c:v>
                </c:pt>
                <c:pt idx="8">
                  <c:v>2390</c:v>
                </c:pt>
                <c:pt idx="9">
                  <c:v>2420</c:v>
                </c:pt>
                <c:pt idx="10">
                  <c:v>2167</c:v>
                </c:pt>
                <c:pt idx="11">
                  <c:v>3032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merc'!$B$204:$B$215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merc'!$E$204:$E$209,'graficas evol mensual merc'!$E$210)</c:f>
              <c:numCache>
                <c:formatCode>#,##0</c:formatCode>
                <c:ptCount val="7"/>
                <c:pt idx="0">
                  <c:v>5105</c:v>
                </c:pt>
                <c:pt idx="1">
                  <c:v>3897</c:v>
                </c:pt>
                <c:pt idx="2">
                  <c:v>3266</c:v>
                </c:pt>
                <c:pt idx="3">
                  <c:v>2538</c:v>
                </c:pt>
                <c:pt idx="4">
                  <c:v>2290</c:v>
                </c:pt>
                <c:pt idx="5">
                  <c:v>2727</c:v>
                </c:pt>
                <c:pt idx="6">
                  <c:v>3797</c:v>
                </c:pt>
              </c:numCache>
            </c:numRef>
          </c:val>
        </c:ser>
        <c:marker val="1"/>
        <c:axId val="199706496"/>
        <c:axId val="199718784"/>
      </c:lineChart>
      <c:catAx>
        <c:axId val="199706496"/>
        <c:scaling>
          <c:orientation val="minMax"/>
        </c:scaling>
        <c:axPos val="b"/>
        <c:numFmt formatCode="General" sourceLinked="1"/>
        <c:tickLblPos val="nextTo"/>
        <c:crossAx val="199718784"/>
        <c:crosses val="autoZero"/>
        <c:auto val="1"/>
        <c:lblAlgn val="ctr"/>
        <c:lblOffset val="100"/>
      </c:catAx>
      <c:valAx>
        <c:axId val="199718784"/>
        <c:scaling>
          <c:orientation val="minMax"/>
        </c:scaling>
        <c:axPos val="l"/>
        <c:numFmt formatCode="#,##0" sourceLinked="1"/>
        <c:tickLblPos val="nextTo"/>
        <c:crossAx val="1997064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04"/>
          <c:y val="0.15547703180212213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77" l="0.70000000000000062" r="0.70000000000000062" t="0.75000000000000477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merc'!$B$222:$B$233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merc'!$C$222:$C$233</c:f>
              <c:numCache>
                <c:formatCode>#,##0</c:formatCode>
                <c:ptCount val="12"/>
                <c:pt idx="0">
                  <c:v>4872</c:v>
                </c:pt>
                <c:pt idx="1">
                  <c:v>3250</c:v>
                </c:pt>
                <c:pt idx="2">
                  <c:v>3466</c:v>
                </c:pt>
                <c:pt idx="3">
                  <c:v>4572</c:v>
                </c:pt>
                <c:pt idx="4">
                  <c:v>5734</c:v>
                </c:pt>
                <c:pt idx="5">
                  <c:v>5112</c:v>
                </c:pt>
                <c:pt idx="6">
                  <c:v>5005</c:v>
                </c:pt>
                <c:pt idx="7">
                  <c:v>5477</c:v>
                </c:pt>
                <c:pt idx="8">
                  <c:v>4051</c:v>
                </c:pt>
                <c:pt idx="9">
                  <c:v>9828</c:v>
                </c:pt>
                <c:pt idx="10">
                  <c:v>3958</c:v>
                </c:pt>
                <c:pt idx="11">
                  <c:v>3355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merc'!$B$222:$B$233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merc'!$D$222:$D$233</c:f>
              <c:numCache>
                <c:formatCode>#,##0</c:formatCode>
                <c:ptCount val="12"/>
                <c:pt idx="0">
                  <c:v>3874</c:v>
                </c:pt>
                <c:pt idx="1">
                  <c:v>1864</c:v>
                </c:pt>
                <c:pt idx="2">
                  <c:v>2810</c:v>
                </c:pt>
                <c:pt idx="3">
                  <c:v>2964</c:v>
                </c:pt>
                <c:pt idx="4">
                  <c:v>4491</c:v>
                </c:pt>
                <c:pt idx="5">
                  <c:v>3620</c:v>
                </c:pt>
                <c:pt idx="6">
                  <c:v>4201</c:v>
                </c:pt>
                <c:pt idx="7">
                  <c:v>3668</c:v>
                </c:pt>
                <c:pt idx="8">
                  <c:v>2957</c:v>
                </c:pt>
                <c:pt idx="9">
                  <c:v>3864</c:v>
                </c:pt>
                <c:pt idx="10">
                  <c:v>2776</c:v>
                </c:pt>
                <c:pt idx="11">
                  <c:v>2697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merc'!$B$222:$B$233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merc'!$E$222:$E$227,'graficas evol mensual merc'!$E$228)</c:f>
              <c:numCache>
                <c:formatCode>#,##0</c:formatCode>
                <c:ptCount val="7"/>
                <c:pt idx="0">
                  <c:v>3623</c:v>
                </c:pt>
                <c:pt idx="1">
                  <c:v>2290</c:v>
                </c:pt>
                <c:pt idx="2">
                  <c:v>3017</c:v>
                </c:pt>
                <c:pt idx="3">
                  <c:v>4601</c:v>
                </c:pt>
                <c:pt idx="4">
                  <c:v>3546</c:v>
                </c:pt>
                <c:pt idx="5">
                  <c:v>4158</c:v>
                </c:pt>
                <c:pt idx="6">
                  <c:v>6396</c:v>
                </c:pt>
              </c:numCache>
            </c:numRef>
          </c:val>
        </c:ser>
        <c:marker val="1"/>
        <c:axId val="199792128"/>
        <c:axId val="199793664"/>
      </c:lineChart>
      <c:catAx>
        <c:axId val="199792128"/>
        <c:scaling>
          <c:orientation val="minMax"/>
        </c:scaling>
        <c:axPos val="b"/>
        <c:numFmt formatCode="General" sourceLinked="1"/>
        <c:tickLblPos val="nextTo"/>
        <c:crossAx val="199793664"/>
        <c:crosses val="autoZero"/>
        <c:auto val="1"/>
        <c:lblAlgn val="ctr"/>
        <c:lblOffset val="100"/>
      </c:catAx>
      <c:valAx>
        <c:axId val="199793664"/>
        <c:scaling>
          <c:orientation val="minMax"/>
        </c:scaling>
        <c:axPos val="l"/>
        <c:numFmt formatCode="#,##0" sourceLinked="1"/>
        <c:tickLblPos val="nextTo"/>
        <c:crossAx val="1997921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26"/>
          <c:y val="0.1554770318021223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merc'!$B$240:$B$251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merc'!$C$240:$C$251</c:f>
              <c:numCache>
                <c:formatCode>#,##0</c:formatCode>
                <c:ptCount val="12"/>
                <c:pt idx="0">
                  <c:v>3428</c:v>
                </c:pt>
                <c:pt idx="1">
                  <c:v>3473</c:v>
                </c:pt>
                <c:pt idx="2">
                  <c:v>3522</c:v>
                </c:pt>
                <c:pt idx="3">
                  <c:v>3999</c:v>
                </c:pt>
                <c:pt idx="4">
                  <c:v>6721</c:v>
                </c:pt>
                <c:pt idx="5">
                  <c:v>2542</c:v>
                </c:pt>
                <c:pt idx="6">
                  <c:v>3744</c:v>
                </c:pt>
                <c:pt idx="7">
                  <c:v>3640</c:v>
                </c:pt>
                <c:pt idx="8">
                  <c:v>4541</c:v>
                </c:pt>
                <c:pt idx="9">
                  <c:v>2997</c:v>
                </c:pt>
                <c:pt idx="10">
                  <c:v>3224</c:v>
                </c:pt>
                <c:pt idx="11">
                  <c:v>3012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merc'!$B$240:$B$251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merc'!$D$240:$D$251</c:f>
              <c:numCache>
                <c:formatCode>#,##0</c:formatCode>
                <c:ptCount val="12"/>
                <c:pt idx="0">
                  <c:v>4025</c:v>
                </c:pt>
                <c:pt idx="1">
                  <c:v>3598</c:v>
                </c:pt>
                <c:pt idx="2">
                  <c:v>4077</c:v>
                </c:pt>
                <c:pt idx="3">
                  <c:v>3829</c:v>
                </c:pt>
                <c:pt idx="4">
                  <c:v>3323</c:v>
                </c:pt>
                <c:pt idx="5">
                  <c:v>5799</c:v>
                </c:pt>
                <c:pt idx="6">
                  <c:v>5031</c:v>
                </c:pt>
                <c:pt idx="7">
                  <c:v>3594</c:v>
                </c:pt>
                <c:pt idx="8">
                  <c:v>4480</c:v>
                </c:pt>
                <c:pt idx="9">
                  <c:v>4071</c:v>
                </c:pt>
                <c:pt idx="10">
                  <c:v>2865</c:v>
                </c:pt>
                <c:pt idx="11">
                  <c:v>3498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merc'!$B$240:$B$251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merc'!$E$240:$E$245,'graficas evol mensual merc'!$E$246)</c:f>
              <c:numCache>
                <c:formatCode>#,##0</c:formatCode>
                <c:ptCount val="7"/>
                <c:pt idx="0">
                  <c:v>3312</c:v>
                </c:pt>
                <c:pt idx="1">
                  <c:v>3257</c:v>
                </c:pt>
                <c:pt idx="2">
                  <c:v>3511</c:v>
                </c:pt>
                <c:pt idx="3">
                  <c:v>3486</c:v>
                </c:pt>
                <c:pt idx="4">
                  <c:v>2644</c:v>
                </c:pt>
                <c:pt idx="5">
                  <c:v>4831</c:v>
                </c:pt>
                <c:pt idx="6">
                  <c:v>5723</c:v>
                </c:pt>
              </c:numCache>
            </c:numRef>
          </c:val>
        </c:ser>
        <c:marker val="1"/>
        <c:axId val="199829376"/>
        <c:axId val="199851008"/>
      </c:lineChart>
      <c:catAx>
        <c:axId val="199829376"/>
        <c:scaling>
          <c:orientation val="minMax"/>
        </c:scaling>
        <c:axPos val="b"/>
        <c:numFmt formatCode="General" sourceLinked="1"/>
        <c:tickLblPos val="nextTo"/>
        <c:crossAx val="199851008"/>
        <c:crosses val="autoZero"/>
        <c:auto val="1"/>
        <c:lblAlgn val="ctr"/>
        <c:lblOffset val="100"/>
      </c:catAx>
      <c:valAx>
        <c:axId val="199851008"/>
        <c:scaling>
          <c:orientation val="minMax"/>
        </c:scaling>
        <c:axPos val="l"/>
        <c:numFmt formatCode="#,##0" sourceLinked="1"/>
        <c:tickLblPos val="nextTo"/>
        <c:crossAx val="1998293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43"/>
          <c:y val="0.15547703180212247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22" l="0.70000000000000062" r="0.70000000000000062" t="0.75000000000000522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merc'!$B$258:$B$269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merc'!$C$258:$C$269</c:f>
              <c:numCache>
                <c:formatCode>#,##0</c:formatCode>
                <c:ptCount val="12"/>
                <c:pt idx="0">
                  <c:v>2498</c:v>
                </c:pt>
                <c:pt idx="1">
                  <c:v>2353</c:v>
                </c:pt>
                <c:pt idx="2">
                  <c:v>2997</c:v>
                </c:pt>
                <c:pt idx="3">
                  <c:v>2242</c:v>
                </c:pt>
                <c:pt idx="4">
                  <c:v>2596</c:v>
                </c:pt>
                <c:pt idx="5">
                  <c:v>3094</c:v>
                </c:pt>
                <c:pt idx="6">
                  <c:v>2754</c:v>
                </c:pt>
                <c:pt idx="7">
                  <c:v>3108</c:v>
                </c:pt>
                <c:pt idx="8">
                  <c:v>3273</c:v>
                </c:pt>
                <c:pt idx="9">
                  <c:v>3439</c:v>
                </c:pt>
                <c:pt idx="10">
                  <c:v>2576</c:v>
                </c:pt>
                <c:pt idx="11">
                  <c:v>2167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merc'!$B$258:$B$269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merc'!$D$258:$D$269</c:f>
              <c:numCache>
                <c:formatCode>#,##0</c:formatCode>
                <c:ptCount val="12"/>
                <c:pt idx="0">
                  <c:v>3886</c:v>
                </c:pt>
                <c:pt idx="1">
                  <c:v>3808</c:v>
                </c:pt>
                <c:pt idx="2">
                  <c:v>3595</c:v>
                </c:pt>
                <c:pt idx="3">
                  <c:v>3057</c:v>
                </c:pt>
                <c:pt idx="4">
                  <c:v>2860</c:v>
                </c:pt>
                <c:pt idx="5">
                  <c:v>2225</c:v>
                </c:pt>
                <c:pt idx="6">
                  <c:v>2273</c:v>
                </c:pt>
                <c:pt idx="7">
                  <c:v>2501</c:v>
                </c:pt>
                <c:pt idx="8">
                  <c:v>1822</c:v>
                </c:pt>
                <c:pt idx="9">
                  <c:v>1989</c:v>
                </c:pt>
                <c:pt idx="10">
                  <c:v>2361</c:v>
                </c:pt>
                <c:pt idx="11">
                  <c:v>1884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merc'!$B$258:$B$269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merc'!$E$258:$E$263,'graficas evol mensual merc'!$E$264)</c:f>
              <c:numCache>
                <c:formatCode>#,##0</c:formatCode>
                <c:ptCount val="7"/>
                <c:pt idx="0">
                  <c:v>2494</c:v>
                </c:pt>
                <c:pt idx="1">
                  <c:v>2203</c:v>
                </c:pt>
                <c:pt idx="2">
                  <c:v>2462</c:v>
                </c:pt>
                <c:pt idx="3">
                  <c:v>2322</c:v>
                </c:pt>
                <c:pt idx="4">
                  <c:v>2071</c:v>
                </c:pt>
                <c:pt idx="5">
                  <c:v>1965</c:v>
                </c:pt>
                <c:pt idx="6">
                  <c:v>2146</c:v>
                </c:pt>
              </c:numCache>
            </c:numRef>
          </c:val>
        </c:ser>
        <c:marker val="1"/>
        <c:axId val="199893376"/>
        <c:axId val="199920640"/>
      </c:lineChart>
      <c:catAx>
        <c:axId val="199893376"/>
        <c:scaling>
          <c:orientation val="minMax"/>
        </c:scaling>
        <c:axPos val="b"/>
        <c:numFmt formatCode="General" sourceLinked="1"/>
        <c:tickLblPos val="nextTo"/>
        <c:crossAx val="199920640"/>
        <c:crosses val="autoZero"/>
        <c:auto val="1"/>
        <c:lblAlgn val="ctr"/>
        <c:lblOffset val="100"/>
      </c:catAx>
      <c:valAx>
        <c:axId val="199920640"/>
        <c:scaling>
          <c:orientation val="minMax"/>
        </c:scaling>
        <c:axPos val="l"/>
        <c:numFmt formatCode="#,##0" sourceLinked="1"/>
        <c:tickLblPos val="nextTo"/>
        <c:crossAx val="1998933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65"/>
          <c:y val="0.15547703180212263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44" l="0.70000000000000062" r="0.70000000000000062" t="0.75000000000000544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merc'!$B$276:$B$287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merc'!$C$276:$C$287</c:f>
              <c:numCache>
                <c:formatCode>#,##0</c:formatCode>
                <c:ptCount val="12"/>
                <c:pt idx="0">
                  <c:v>598</c:v>
                </c:pt>
                <c:pt idx="1">
                  <c:v>783</c:v>
                </c:pt>
                <c:pt idx="2">
                  <c:v>786</c:v>
                </c:pt>
                <c:pt idx="3">
                  <c:v>947</c:v>
                </c:pt>
                <c:pt idx="4">
                  <c:v>1062</c:v>
                </c:pt>
                <c:pt idx="5">
                  <c:v>891</c:v>
                </c:pt>
                <c:pt idx="6">
                  <c:v>1254</c:v>
                </c:pt>
                <c:pt idx="7">
                  <c:v>946</c:v>
                </c:pt>
                <c:pt idx="8">
                  <c:v>1034</c:v>
                </c:pt>
                <c:pt idx="9">
                  <c:v>1210</c:v>
                </c:pt>
                <c:pt idx="10">
                  <c:v>1216</c:v>
                </c:pt>
                <c:pt idx="11">
                  <c:v>846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merc'!$B$276:$B$287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merc'!$D$276:$D$287</c:f>
              <c:numCache>
                <c:formatCode>#,##0</c:formatCode>
                <c:ptCount val="12"/>
                <c:pt idx="0">
                  <c:v>848</c:v>
                </c:pt>
                <c:pt idx="1">
                  <c:v>986</c:v>
                </c:pt>
                <c:pt idx="2">
                  <c:v>1061</c:v>
                </c:pt>
                <c:pt idx="3">
                  <c:v>1061</c:v>
                </c:pt>
                <c:pt idx="4">
                  <c:v>917</c:v>
                </c:pt>
                <c:pt idx="5">
                  <c:v>1063</c:v>
                </c:pt>
                <c:pt idx="6">
                  <c:v>1453</c:v>
                </c:pt>
                <c:pt idx="7">
                  <c:v>942</c:v>
                </c:pt>
                <c:pt idx="8">
                  <c:v>1069</c:v>
                </c:pt>
                <c:pt idx="9">
                  <c:v>1634</c:v>
                </c:pt>
                <c:pt idx="10">
                  <c:v>1209</c:v>
                </c:pt>
                <c:pt idx="11">
                  <c:v>877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merc'!$B$276:$B$287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merc'!$E$276:$E$281,'graficas evol mensual merc'!$E$282)</c:f>
              <c:numCache>
                <c:formatCode>#,##0</c:formatCode>
                <c:ptCount val="7"/>
                <c:pt idx="0">
                  <c:v>945</c:v>
                </c:pt>
                <c:pt idx="1">
                  <c:v>955</c:v>
                </c:pt>
                <c:pt idx="2">
                  <c:v>1118</c:v>
                </c:pt>
                <c:pt idx="3">
                  <c:v>1166</c:v>
                </c:pt>
                <c:pt idx="4">
                  <c:v>930</c:v>
                </c:pt>
                <c:pt idx="5">
                  <c:v>806</c:v>
                </c:pt>
                <c:pt idx="6">
                  <c:v>1418</c:v>
                </c:pt>
              </c:numCache>
            </c:numRef>
          </c:val>
        </c:ser>
        <c:marker val="1"/>
        <c:axId val="199948160"/>
        <c:axId val="199956352"/>
      </c:lineChart>
      <c:catAx>
        <c:axId val="199948160"/>
        <c:scaling>
          <c:orientation val="minMax"/>
        </c:scaling>
        <c:axPos val="b"/>
        <c:numFmt formatCode="General" sourceLinked="1"/>
        <c:tickLblPos val="nextTo"/>
        <c:crossAx val="199956352"/>
        <c:crosses val="autoZero"/>
        <c:auto val="1"/>
        <c:lblAlgn val="ctr"/>
        <c:lblOffset val="100"/>
      </c:catAx>
      <c:valAx>
        <c:axId val="199956352"/>
        <c:scaling>
          <c:orientation val="minMax"/>
        </c:scaling>
        <c:axPos val="l"/>
        <c:numFmt formatCode="#,##0" sourceLinked="1"/>
        <c:tickLblPos val="nextTo"/>
        <c:crossAx val="1999481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87"/>
          <c:y val="0.1554770318021228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66" l="0.70000000000000062" r="0.70000000000000062" t="0.75000000000000566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200" b="0"/>
            </a:pPr>
            <a:r>
              <a:rPr lang="en-US"/>
              <a:t>2009</a:t>
            </a:r>
          </a:p>
        </c:rich>
      </c:tx>
      <c:layout>
        <c:manualLayout>
          <c:xMode val="edge"/>
          <c:yMode val="edge"/>
          <c:x val="0.47790444997794246"/>
          <c:y val="5.6440326207840327E-2"/>
        </c:manualLayout>
      </c:layout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59892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432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444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4919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444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378"/>
              <c:y val="1.2929416633772444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063"/>
              <c:y val="2.5858833267544919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619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09081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18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48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2945"/>
              <c:y val="-1.6420359124890772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06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654"/>
              <c:y val="-1.6420359124890772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9.2312285234306402E-2"/>
          <c:w val="0.79230350479694001"/>
          <c:h val="0.86730850014758964"/>
        </c:manualLayout>
      </c:layout>
      <c:barChart>
        <c:barDir val="bar"/>
        <c:grouping val="clustered"/>
        <c:ser>
          <c:idx val="0"/>
          <c:order val="0"/>
          <c:tx>
            <c:strRef>
              <c:f>'[1]tabla dinámica nacionalidades'!$K$55</c:f>
              <c:strCache>
                <c:ptCount val="1"/>
                <c:pt idx="0">
                  <c:v>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Lit>
              <c:ptCount val="20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SUECIA</c:v>
              </c:pt>
              <c:pt idx="4">
                <c:v>FINLANDIA</c:v>
              </c:pt>
              <c:pt idx="5">
                <c:v>DINAMARCA</c:v>
              </c:pt>
              <c:pt idx="6">
                <c:v>NORUEGA</c:v>
              </c:pt>
              <c:pt idx="7">
                <c:v>HOLANDA</c:v>
              </c:pt>
              <c:pt idx="8">
                <c:v>BELGICA</c:v>
              </c:pt>
              <c:pt idx="9">
                <c:v>FRANCIA</c:v>
              </c:pt>
              <c:pt idx="10">
                <c:v>ITALIA</c:v>
              </c:pt>
              <c:pt idx="11">
                <c:v>IRLANDA</c:v>
              </c:pt>
              <c:pt idx="12">
                <c:v>PAISES DEL ESTE</c:v>
              </c:pt>
              <c:pt idx="13">
                <c:v>RUSIA</c:v>
              </c:pt>
              <c:pt idx="14">
                <c:v>AUSTRIA</c:v>
              </c:pt>
              <c:pt idx="15">
                <c:v>SUIZA</c:v>
              </c:pt>
              <c:pt idx="16">
                <c:v>USA</c:v>
              </c:pt>
              <c:pt idx="17">
                <c:v>RESTO DE AMERICA</c:v>
              </c:pt>
              <c:pt idx="18">
                <c:v>RESTO DE EUROPA</c:v>
              </c:pt>
              <c:pt idx="19">
                <c:v>RESTO DEL MUNDO</c:v>
              </c:pt>
            </c:strLit>
          </c:cat>
          <c:val>
            <c:numRef>
              <c:f>'[1]tabla dinámica nacionalidades'!$K$57:$K$76</c:f>
              <c:numCache>
                <c:formatCode>#,##0</c:formatCode>
                <c:ptCount val="20"/>
                <c:pt idx="0">
                  <c:v>544895</c:v>
                </c:pt>
                <c:pt idx="1">
                  <c:v>366973</c:v>
                </c:pt>
                <c:pt idx="2">
                  <c:v>219052</c:v>
                </c:pt>
                <c:pt idx="3">
                  <c:v>60992</c:v>
                </c:pt>
                <c:pt idx="4">
                  <c:v>59191</c:v>
                </c:pt>
                <c:pt idx="5">
                  <c:v>48190</c:v>
                </c:pt>
                <c:pt idx="6">
                  <c:v>42005</c:v>
                </c:pt>
                <c:pt idx="7">
                  <c:v>40507</c:v>
                </c:pt>
                <c:pt idx="8">
                  <c:v>39786</c:v>
                </c:pt>
                <c:pt idx="9">
                  <c:v>39530</c:v>
                </c:pt>
                <c:pt idx="10">
                  <c:v>34497</c:v>
                </c:pt>
                <c:pt idx="11">
                  <c:v>32261</c:v>
                </c:pt>
                <c:pt idx="12">
                  <c:v>22565</c:v>
                </c:pt>
                <c:pt idx="13">
                  <c:v>22439</c:v>
                </c:pt>
                <c:pt idx="14">
                  <c:v>13120</c:v>
                </c:pt>
                <c:pt idx="15">
                  <c:v>10759</c:v>
                </c:pt>
                <c:pt idx="16">
                  <c:v>39803</c:v>
                </c:pt>
                <c:pt idx="17">
                  <c:v>2954</c:v>
                </c:pt>
                <c:pt idx="18">
                  <c:v>3096</c:v>
                </c:pt>
                <c:pt idx="19">
                  <c:v>6416</c:v>
                </c:pt>
              </c:numCache>
            </c:numRef>
          </c:val>
        </c:ser>
        <c:gapWidth val="26"/>
        <c:overlap val="-35"/>
        <c:axId val="200058368"/>
        <c:axId val="200059904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noFill/>
          </c:spPr>
          <c:dLbls>
            <c:dLbl>
              <c:idx val="1"/>
              <c:layout>
                <c:manualLayout>
                  <c:x val="2.8726781053194767E-3"/>
                  <c:y val="2.9896539682386486E-3"/>
                </c:manualLayout>
              </c:layout>
              <c:showVal val="1"/>
            </c:dLbl>
            <c:dLbl>
              <c:idx val="3"/>
              <c:layout>
                <c:manualLayout>
                  <c:x val="0.13675213675213738"/>
                  <c:y val="0"/>
                </c:manualLayout>
              </c:layout>
              <c:showVal val="1"/>
            </c:dLbl>
            <c:dLbl>
              <c:idx val="4"/>
              <c:layout>
                <c:manualLayout>
                  <c:x val="1.8996343405792225E-3"/>
                  <c:y val="1.1769827834489471E-7"/>
                </c:manualLayout>
              </c:layout>
              <c:showVal val="1"/>
            </c:dLbl>
            <c:dLbl>
              <c:idx val="5"/>
              <c:layout>
                <c:manualLayout>
                  <c:x val="0.13675213675213738"/>
                  <c:y val="1.1769827834489471E-7"/>
                </c:manualLayout>
              </c:layout>
              <c:showVal val="1"/>
            </c:dLbl>
            <c:dLbl>
              <c:idx val="6"/>
              <c:layout>
                <c:manualLayout>
                  <c:x val="0.12155745489078794"/>
                  <c:y val="0"/>
                </c:manualLayout>
              </c:layout>
              <c:showVal val="1"/>
            </c:dLbl>
            <c:dLbl>
              <c:idx val="7"/>
              <c:layout>
                <c:manualLayout>
                  <c:x val="3.7989695732477992E-3"/>
                  <c:y val="1.1769827834489471E-7"/>
                </c:manualLayout>
              </c:layout>
              <c:showVal val="1"/>
            </c:dLbl>
            <c:dLbl>
              <c:idx val="9"/>
              <c:layout>
                <c:manualLayout>
                  <c:x val="6.5457726875049896E-3"/>
                  <c:y val="-1.4945327384234641E-3"/>
                </c:manualLayout>
              </c:layout>
              <c:showVal val="1"/>
            </c:dLbl>
            <c:dLbl>
              <c:idx val="11"/>
              <c:layout>
                <c:manualLayout>
                  <c:x val="1.0361308142267393E-3"/>
                  <c:y val="1.4948858332585002E-3"/>
                </c:manualLayout>
              </c:layout>
              <c:showVal val="1"/>
            </c:dLbl>
            <c:dLbl>
              <c:idx val="12"/>
              <c:layout>
                <c:manualLayout>
                  <c:x val="9.7337006427915512E-4"/>
                  <c:y val="2.3539655668978862E-7"/>
                </c:manualLayout>
              </c:layout>
              <c:showVal val="1"/>
            </c:dLbl>
            <c:dLbl>
              <c:idx val="13"/>
              <c:layout>
                <c:manualLayout>
                  <c:x val="9.6866096866097234E-2"/>
                  <c:y val="0"/>
                </c:manualLayout>
              </c:layout>
              <c:showVal val="1"/>
            </c:dLbl>
            <c:dLbl>
              <c:idx val="14"/>
              <c:layout>
                <c:manualLayout>
                  <c:x val="8.7369420702754053E-2"/>
                  <c:y val="1.4948858332585011E-3"/>
                </c:manualLayout>
              </c:layout>
              <c:showVal val="1"/>
            </c:dLbl>
            <c:dLbl>
              <c:idx val="15"/>
              <c:layout>
                <c:manualLayout>
                  <c:x val="5.6983048059163549E-3"/>
                  <c:y val="1.1769827834489471E-7"/>
                </c:manualLayout>
              </c:layout>
              <c:showVal val="1"/>
            </c:dLbl>
            <c:dLbl>
              <c:idx val="16"/>
              <c:layout>
                <c:manualLayout>
                  <c:x val="1.8994847866238989E-3"/>
                  <c:y val="1.1769827834489471E-7"/>
                </c:manualLayout>
              </c:layout>
              <c:showVal val="1"/>
            </c:dLbl>
            <c:dLbl>
              <c:idx val="17"/>
              <c:layout>
                <c:manualLayout>
                  <c:x val="6.1220653203473505E-3"/>
                  <c:y val="3.530948349250675E-7"/>
                </c:manualLayout>
              </c:layout>
              <c:showVal val="1"/>
            </c:dLbl>
            <c:dLbl>
              <c:idx val="18"/>
              <c:layout>
                <c:manualLayout>
                  <c:x val="7.0275403608736936E-2"/>
                  <c:y val="0"/>
                </c:manualLayout>
              </c:layout>
              <c:showVal val="1"/>
            </c:dLbl>
            <c:dLbl>
              <c:idx val="19"/>
              <c:layout>
                <c:manualLayout>
                  <c:x val="6.1849706803178894E-3"/>
                  <c:y val="-1.4945327384234641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showVal val="1"/>
          </c:dLbls>
          <c:cat>
            <c:strRef>
              <c:f>'[1]tabla dinámica nacionalidades'!$H$57:$H$76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Suecia</c:v>
                </c:pt>
                <c:pt idx="7">
                  <c:v>Francia</c:v>
                </c:pt>
                <c:pt idx="8">
                  <c:v>Rusia</c:v>
                </c:pt>
                <c:pt idx="9">
                  <c:v>Italia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Finlandia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USA</c:v>
                </c:pt>
                <c:pt idx="18">
                  <c:v>Resto de América</c:v>
                </c:pt>
                <c:pt idx="19">
                  <c:v>Resto del Mundo</c:v>
                </c:pt>
              </c:strCache>
            </c:strRef>
          </c:cat>
          <c:val>
            <c:numRef>
              <c:f>'[1]tabla dinámica nacionalidades'!$L$57:$L$76</c:f>
              <c:numCache>
                <c:formatCode>0.00%</c:formatCode>
                <c:ptCount val="20"/>
                <c:pt idx="0">
                  <c:v>-0.18825045436939486</c:v>
                </c:pt>
                <c:pt idx="1">
                  <c:v>-2.7551209688104514E-2</c:v>
                </c:pt>
                <c:pt idx="2">
                  <c:v>-0.18651495120248371</c:v>
                </c:pt>
                <c:pt idx="3">
                  <c:v>4.5457661981487832E-2</c:v>
                </c:pt>
                <c:pt idx="4">
                  <c:v>-0.20579908491996404</c:v>
                </c:pt>
                <c:pt idx="5">
                  <c:v>7.4638182102000308E-2</c:v>
                </c:pt>
                <c:pt idx="6">
                  <c:v>0.14398932403725692</c:v>
                </c:pt>
                <c:pt idx="7">
                  <c:v>-0.12075103103972216</c:v>
                </c:pt>
                <c:pt idx="8">
                  <c:v>-0.32198364008179958</c:v>
                </c:pt>
                <c:pt idx="9">
                  <c:v>-3.0533415082771305E-2</c:v>
                </c:pt>
                <c:pt idx="10">
                  <c:v>-0.22251521298174443</c:v>
                </c:pt>
                <c:pt idx="11">
                  <c:v>-2.525908692630752E-2</c:v>
                </c:pt>
                <c:pt idx="12">
                  <c:v>-9.3301723791537755E-2</c:v>
                </c:pt>
                <c:pt idx="13">
                  <c:v>9.1922141119221409E-2</c:v>
                </c:pt>
                <c:pt idx="14">
                  <c:v>0.13367320487341225</c:v>
                </c:pt>
                <c:pt idx="15">
                  <c:v>-0.16050249687890136</c:v>
                </c:pt>
                <c:pt idx="16">
                  <c:v>-0.23807427258805514</c:v>
                </c:pt>
                <c:pt idx="17">
                  <c:v>-0.13977868375072802</c:v>
                </c:pt>
                <c:pt idx="18">
                  <c:v>0.35789473684210527</c:v>
                </c:pt>
                <c:pt idx="19">
                  <c:v>-0.16588663546541862</c:v>
                </c:pt>
              </c:numCache>
            </c:numRef>
          </c:val>
        </c:ser>
        <c:gapWidth val="0"/>
        <c:axId val="200075520"/>
        <c:axId val="200073984"/>
      </c:barChart>
      <c:catAx>
        <c:axId val="200058368"/>
        <c:scaling>
          <c:orientation val="maxMin"/>
        </c:scaling>
        <c:axPos val="l"/>
        <c:tickLblPos val="low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0059904"/>
        <c:crosses val="autoZero"/>
        <c:auto val="1"/>
        <c:lblAlgn val="ctr"/>
        <c:lblOffset val="100"/>
      </c:catAx>
      <c:valAx>
        <c:axId val="200059904"/>
        <c:scaling>
          <c:orientation val="minMax"/>
        </c:scaling>
        <c:delete val="1"/>
        <c:axPos val="t"/>
        <c:numFmt formatCode="#,##0" sourceLinked="1"/>
        <c:tickLblPos val="none"/>
        <c:crossAx val="200058368"/>
        <c:crosses val="autoZero"/>
        <c:crossBetween val="between"/>
      </c:valAx>
      <c:valAx>
        <c:axId val="200073984"/>
        <c:scaling>
          <c:orientation val="minMax"/>
        </c:scaling>
        <c:delete val="1"/>
        <c:axPos val="t"/>
        <c:numFmt formatCode="0.00%" sourceLinked="1"/>
        <c:tickLblPos val="none"/>
        <c:crossAx val="200075520"/>
        <c:crosses val="autoZero"/>
        <c:crossBetween val="between"/>
      </c:valAx>
      <c:catAx>
        <c:axId val="200075520"/>
        <c:scaling>
          <c:orientation val="maxMin"/>
        </c:scaling>
        <c:delete val="1"/>
        <c:axPos val="r"/>
        <c:tickLblPos val="none"/>
        <c:crossAx val="20007398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printSettings>
    <c:headerFooter/>
    <c:pageMargins b="0.75000000000000933" l="0.70000000000000062" r="0.70000000000000062" t="0.75000000000000933" header="0.30000000000000032" footer="0.30000000000000032"/>
    <c:pageSetup orientation="portrait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actualizaciones!$A$2</c:f>
          <c:strCache>
            <c:ptCount val="1"/>
            <c:pt idx="0">
              <c:v>acumulado julio 2010 </c:v>
            </c:pt>
          </c:strCache>
        </c:strRef>
      </c:tx>
      <c:layout>
        <c:manualLayout>
          <c:xMode val="edge"/>
          <c:yMode val="edge"/>
          <c:x val="0.39872984281023932"/>
          <c:y val="5.6440326207840327E-2"/>
        </c:manualLayout>
      </c:layout>
      <c:txPr>
        <a:bodyPr/>
        <a:lstStyle/>
        <a:p>
          <a:pPr>
            <a:defRPr sz="1200" b="0"/>
          </a:pPr>
          <a:endParaRPr lang="es-ES"/>
        </a:p>
      </c:txPr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59874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419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433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4898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433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375"/>
              <c:y val="1.2929416633772433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06"/>
              <c:y val="2.5858833267544898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597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08946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07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44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2937"/>
              <c:y val="-1.6420359124890767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642"/>
              <c:y val="-1.6420359124890767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9.2312285234306429E-2"/>
          <c:w val="0.79230350479694045"/>
          <c:h val="0.86730850014758964"/>
        </c:manualLayout>
      </c:layout>
      <c:barChart>
        <c:barDir val="bar"/>
        <c:grouping val="clustered"/>
        <c:ser>
          <c:idx val="0"/>
          <c:order val="0"/>
          <c:tx>
            <c:strRef>
              <c:f>'[1]tabla dinámica nacionalidades'!$J$6</c:f>
              <c:strCache>
                <c:ptCount val="1"/>
                <c:pt idx="0">
                  <c:v>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Lit>
              <c:ptCount val="20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SUECIA</c:v>
              </c:pt>
              <c:pt idx="4">
                <c:v>FINLANDIA</c:v>
              </c:pt>
              <c:pt idx="5">
                <c:v>DINAMARCA</c:v>
              </c:pt>
              <c:pt idx="6">
                <c:v>NORUEGA</c:v>
              </c:pt>
              <c:pt idx="7">
                <c:v>HOLANDA</c:v>
              </c:pt>
              <c:pt idx="8">
                <c:v>BELGICA</c:v>
              </c:pt>
              <c:pt idx="9">
                <c:v>FRANCIA</c:v>
              </c:pt>
              <c:pt idx="10">
                <c:v>ITALIA</c:v>
              </c:pt>
              <c:pt idx="11">
                <c:v>IRLANDA</c:v>
              </c:pt>
              <c:pt idx="12">
                <c:v>PAISES DEL ESTE</c:v>
              </c:pt>
              <c:pt idx="13">
                <c:v>RUSIA</c:v>
              </c:pt>
              <c:pt idx="14">
                <c:v>AUSTRIA</c:v>
              </c:pt>
              <c:pt idx="15">
                <c:v>SUIZA</c:v>
              </c:pt>
              <c:pt idx="16">
                <c:v>USA</c:v>
              </c:pt>
              <c:pt idx="17">
                <c:v>RESTO DE AMERICA</c:v>
              </c:pt>
              <c:pt idx="18">
                <c:v>RESTO DE EUROPA</c:v>
              </c:pt>
              <c:pt idx="19">
                <c:v>RESTO DEL MUNDO</c:v>
              </c:pt>
            </c:strLit>
          </c:cat>
          <c:val>
            <c:numRef>
              <c:f>'[1]tabla dinámica nacionalidades'!$J$8:$J$27</c:f>
              <c:numCache>
                <c:formatCode>#,##0</c:formatCode>
                <c:ptCount val="20"/>
                <c:pt idx="0">
                  <c:v>325181</c:v>
                </c:pt>
                <c:pt idx="1">
                  <c:v>217518</c:v>
                </c:pt>
                <c:pt idx="2">
                  <c:v>132424</c:v>
                </c:pt>
                <c:pt idx="3">
                  <c:v>38165</c:v>
                </c:pt>
                <c:pt idx="4">
                  <c:v>33893</c:v>
                </c:pt>
                <c:pt idx="5">
                  <c:v>27631</c:v>
                </c:pt>
                <c:pt idx="6">
                  <c:v>26764</c:v>
                </c:pt>
                <c:pt idx="7">
                  <c:v>24738</c:v>
                </c:pt>
                <c:pt idx="8">
                  <c:v>21624</c:v>
                </c:pt>
                <c:pt idx="9">
                  <c:v>23620</c:v>
                </c:pt>
                <c:pt idx="10">
                  <c:v>17803</c:v>
                </c:pt>
                <c:pt idx="11">
                  <c:v>15663</c:v>
                </c:pt>
                <c:pt idx="12">
                  <c:v>12278</c:v>
                </c:pt>
                <c:pt idx="13">
                  <c:v>11874</c:v>
                </c:pt>
                <c:pt idx="14">
                  <c:v>8031</c:v>
                </c:pt>
                <c:pt idx="15">
                  <c:v>7338</c:v>
                </c:pt>
                <c:pt idx="16">
                  <c:v>23752</c:v>
                </c:pt>
                <c:pt idx="17">
                  <c:v>1920</c:v>
                </c:pt>
                <c:pt idx="18">
                  <c:v>1682</c:v>
                </c:pt>
                <c:pt idx="19">
                  <c:v>6784</c:v>
                </c:pt>
              </c:numCache>
            </c:numRef>
          </c:val>
        </c:ser>
        <c:gapWidth val="26"/>
        <c:overlap val="-35"/>
        <c:axId val="201003776"/>
        <c:axId val="201005312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noFill/>
          </c:spPr>
          <c:dLbls>
            <c:dLbl>
              <c:idx val="4"/>
              <c:layout>
                <c:manualLayout>
                  <c:x val="4.9902664380974534E-3"/>
                  <c:y val="1.1769827834489412E-7"/>
                </c:manualLayout>
              </c:layout>
              <c:showVal val="1"/>
            </c:dLbl>
            <c:dLbl>
              <c:idx val="5"/>
              <c:layout>
                <c:manualLayout>
                  <c:x val="0.12128584711043967"/>
                  <c:y val="1.1769827834489412E-7"/>
                </c:manualLayout>
              </c:layout>
              <c:showVal val="1"/>
            </c:dLbl>
            <c:dLbl>
              <c:idx val="7"/>
              <c:layout>
                <c:manualLayout>
                  <c:x val="-7.7872562977598314E-2"/>
                  <c:y val="1.4951212298151867E-3"/>
                </c:manualLayout>
              </c:layout>
              <c:showVal val="1"/>
            </c:dLbl>
            <c:dLbl>
              <c:idx val="9"/>
              <c:layout>
                <c:manualLayout>
                  <c:x val="0.10826210826210861"/>
                  <c:y val="0"/>
                </c:manualLayout>
              </c:layout>
              <c:showVal val="1"/>
            </c:dLbl>
            <c:dLbl>
              <c:idx val="12"/>
              <c:layout>
                <c:manualLayout>
                  <c:x val="9.1168091168091228E-2"/>
                  <c:y val="0"/>
                </c:manualLayout>
              </c:layout>
              <c:showVal val="1"/>
            </c:dLbl>
            <c:dLbl>
              <c:idx val="14"/>
              <c:layout>
                <c:manualLayout>
                  <c:x val="7.597340930674272E-2"/>
                  <c:y val="0"/>
                </c:manualLayout>
              </c:layout>
              <c:showVal val="1"/>
            </c:dLbl>
            <c:dLbl>
              <c:idx val="15"/>
              <c:layout>
                <c:manualLayout>
                  <c:x val="-7.407407407407407E-2"/>
                  <c:y val="0"/>
                </c:manualLayout>
              </c:layout>
              <c:showVal val="1"/>
            </c:dLbl>
            <c:dLbl>
              <c:idx val="16"/>
              <c:layout>
                <c:manualLayout>
                  <c:x val="0.10625417671499555"/>
                  <c:y val="1.1769827834489412E-7"/>
                </c:manualLayout>
              </c:layout>
              <c:showVal val="1"/>
            </c:dLbl>
            <c:dLbl>
              <c:idx val="17"/>
              <c:layout>
                <c:manualLayout>
                  <c:x val="6.457739791073154E-2"/>
                  <c:y val="1.0961506361597729E-16"/>
                </c:manualLayout>
              </c:layout>
              <c:showVal val="1"/>
            </c:dLbl>
            <c:dLbl>
              <c:idx val="19"/>
              <c:layout>
                <c:manualLayout>
                  <c:x val="7.2174738841405503E-2"/>
                  <c:y val="0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showVal val="1"/>
          </c:dLbls>
          <c:cat>
            <c:strLit>
              <c:ptCount val="20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SUECIA</c:v>
              </c:pt>
              <c:pt idx="4">
                <c:v>FINLANDIA</c:v>
              </c:pt>
              <c:pt idx="5">
                <c:v>DINAMARCA</c:v>
              </c:pt>
              <c:pt idx="6">
                <c:v>NORUEGA</c:v>
              </c:pt>
              <c:pt idx="7">
                <c:v>HOLANDA</c:v>
              </c:pt>
              <c:pt idx="8">
                <c:v>BELGICA</c:v>
              </c:pt>
              <c:pt idx="9">
                <c:v>FRANCIA</c:v>
              </c:pt>
              <c:pt idx="10">
                <c:v>ITALIA</c:v>
              </c:pt>
              <c:pt idx="11">
                <c:v>IRLANDA</c:v>
              </c:pt>
              <c:pt idx="12">
                <c:v>PAISES DEL ESTE</c:v>
              </c:pt>
              <c:pt idx="13">
                <c:v>RUSIA</c:v>
              </c:pt>
              <c:pt idx="14">
                <c:v>AUSTRIA</c:v>
              </c:pt>
              <c:pt idx="15">
                <c:v>SUIZA</c:v>
              </c:pt>
              <c:pt idx="16">
                <c:v>USA</c:v>
              </c:pt>
              <c:pt idx="17">
                <c:v>RESTO DE AMERICA</c:v>
              </c:pt>
              <c:pt idx="18">
                <c:v>RESTO DE EUROPA</c:v>
              </c:pt>
              <c:pt idx="19">
                <c:v>RESTO DEL MUNDO</c:v>
              </c:pt>
            </c:strLit>
          </c:cat>
          <c:val>
            <c:numRef>
              <c:f>'[1]tabla dinámica nacionalidades'!$K$8:$K$27</c:f>
              <c:numCache>
                <c:formatCode>0.00%</c:formatCode>
                <c:ptCount val="20"/>
                <c:pt idx="0">
                  <c:v>2.8594835848561245E-2</c:v>
                </c:pt>
                <c:pt idx="1">
                  <c:v>0.12687862319779097</c:v>
                </c:pt>
                <c:pt idx="2">
                  <c:v>5.5322675762260722E-2</c:v>
                </c:pt>
                <c:pt idx="3">
                  <c:v>0.10039500619900239</c:v>
                </c:pt>
                <c:pt idx="4">
                  <c:v>-5.0775779980955581E-2</c:v>
                </c:pt>
                <c:pt idx="5">
                  <c:v>0.15979684351914036</c:v>
                </c:pt>
                <c:pt idx="6">
                  <c:v>-9.8308739303281448E-2</c:v>
                </c:pt>
                <c:pt idx="7">
                  <c:v>-1.9365770999757927E-3</c:v>
                </c:pt>
                <c:pt idx="8">
                  <c:v>-0.12802935602242027</c:v>
                </c:pt>
                <c:pt idx="9">
                  <c:v>5.0197856920546E-2</c:v>
                </c:pt>
                <c:pt idx="10">
                  <c:v>-0.24872346710554077</c:v>
                </c:pt>
                <c:pt idx="11">
                  <c:v>-0.2783357906376705</c:v>
                </c:pt>
                <c:pt idx="12">
                  <c:v>1.0534979423868314E-2</c:v>
                </c:pt>
                <c:pt idx="13">
                  <c:v>-0.13157317340744534</c:v>
                </c:pt>
                <c:pt idx="14">
                  <c:v>0.28805132317562149</c:v>
                </c:pt>
                <c:pt idx="15">
                  <c:v>-6.9021518473406417E-3</c:v>
                </c:pt>
                <c:pt idx="16">
                  <c:v>4.9301996819226014E-2</c:v>
                </c:pt>
                <c:pt idx="17">
                  <c:v>5.3208996160175534E-2</c:v>
                </c:pt>
                <c:pt idx="18">
                  <c:v>-0.13831967213114754</c:v>
                </c:pt>
                <c:pt idx="19">
                  <c:v>0.71399696816574032</c:v>
                </c:pt>
              </c:numCache>
            </c:numRef>
          </c:val>
        </c:ser>
        <c:gapWidth val="0"/>
        <c:axId val="201016832"/>
        <c:axId val="201015296"/>
      </c:barChart>
      <c:catAx>
        <c:axId val="201003776"/>
        <c:scaling>
          <c:orientation val="maxMin"/>
        </c:scaling>
        <c:axPos val="l"/>
        <c:tickLblPos val="low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1005312"/>
        <c:crosses val="autoZero"/>
        <c:auto val="1"/>
        <c:lblAlgn val="ctr"/>
        <c:lblOffset val="100"/>
      </c:catAx>
      <c:valAx>
        <c:axId val="201005312"/>
        <c:scaling>
          <c:orientation val="minMax"/>
        </c:scaling>
        <c:delete val="1"/>
        <c:axPos val="t"/>
        <c:numFmt formatCode="#,##0" sourceLinked="1"/>
        <c:tickLblPos val="none"/>
        <c:crossAx val="201003776"/>
        <c:crosses val="autoZero"/>
        <c:crossBetween val="between"/>
      </c:valAx>
      <c:valAx>
        <c:axId val="201015296"/>
        <c:scaling>
          <c:orientation val="minMax"/>
        </c:scaling>
        <c:delete val="1"/>
        <c:axPos val="t"/>
        <c:numFmt formatCode="0.00%" sourceLinked="1"/>
        <c:tickLblPos val="none"/>
        <c:crossAx val="201016832"/>
        <c:crosses val="autoZero"/>
        <c:crossBetween val="between"/>
      </c:valAx>
      <c:catAx>
        <c:axId val="201016832"/>
        <c:scaling>
          <c:orientation val="maxMin"/>
        </c:scaling>
        <c:delete val="1"/>
        <c:axPos val="r"/>
        <c:tickLblPos val="none"/>
        <c:crossAx val="201015296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printSettings>
    <c:headerFooter/>
    <c:pageMargins b="0.7500000000000091" l="0.70000000000000062" r="0.70000000000000062" t="0.7500000000000091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MENSUAL DE LOS TURISTAS ALOJADOS</a:t>
            </a:r>
          </a:p>
        </c:rich>
      </c:tx>
      <c:layout>
        <c:manualLayout>
          <c:xMode val="edge"/>
          <c:yMode val="edge"/>
          <c:x val="0.16190509519643859"/>
          <c:y val="3.002309468822188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255"/>
        </c:manualLayout>
      </c:layout>
      <c:lineChart>
        <c:grouping val="standard"/>
        <c:ser>
          <c:idx val="2"/>
          <c:order val="0"/>
          <c:tx>
            <c:v>2006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'[1]tabla dinámica men'!$A$2:$A$13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men'!$B$20:$B$31</c:f>
              <c:numCache>
                <c:formatCode>#,##0</c:formatCode>
                <c:ptCount val="12"/>
                <c:pt idx="0">
                  <c:v>152668</c:v>
                </c:pt>
                <c:pt idx="1">
                  <c:v>150745</c:v>
                </c:pt>
                <c:pt idx="2">
                  <c:v>167749</c:v>
                </c:pt>
                <c:pt idx="3">
                  <c:v>174042</c:v>
                </c:pt>
                <c:pt idx="4">
                  <c:v>132318</c:v>
                </c:pt>
                <c:pt idx="5">
                  <c:v>151042</c:v>
                </c:pt>
                <c:pt idx="6">
                  <c:v>167994</c:v>
                </c:pt>
                <c:pt idx="7">
                  <c:v>182235</c:v>
                </c:pt>
                <c:pt idx="8">
                  <c:v>163640</c:v>
                </c:pt>
                <c:pt idx="9">
                  <c:v>176861</c:v>
                </c:pt>
                <c:pt idx="10">
                  <c:v>152276</c:v>
                </c:pt>
                <c:pt idx="11">
                  <c:v>159849</c:v>
                </c:pt>
              </c:numCache>
            </c:numRef>
          </c:val>
        </c:ser>
        <c:ser>
          <c:idx val="4"/>
          <c:order val="1"/>
          <c:tx>
            <c:v>2007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Ref>
              <c:f>'[1]tabla dinámica men'!$A$2:$A$13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men'!$C$20:$C$31</c:f>
              <c:numCache>
                <c:formatCode>#,##0</c:formatCode>
                <c:ptCount val="12"/>
                <c:pt idx="0">
                  <c:v>146244</c:v>
                </c:pt>
                <c:pt idx="1">
                  <c:v>151411</c:v>
                </c:pt>
                <c:pt idx="2">
                  <c:v>174351</c:v>
                </c:pt>
                <c:pt idx="3">
                  <c:v>160991</c:v>
                </c:pt>
                <c:pt idx="4">
                  <c:v>116128</c:v>
                </c:pt>
                <c:pt idx="5">
                  <c:v>144506</c:v>
                </c:pt>
                <c:pt idx="6">
                  <c:v>160319</c:v>
                </c:pt>
                <c:pt idx="7">
                  <c:v>185642</c:v>
                </c:pt>
                <c:pt idx="8">
                  <c:v>142373</c:v>
                </c:pt>
                <c:pt idx="9">
                  <c:v>170847</c:v>
                </c:pt>
                <c:pt idx="10">
                  <c:v>165776</c:v>
                </c:pt>
                <c:pt idx="11">
                  <c:v>149594</c:v>
                </c:pt>
              </c:numCache>
            </c:numRef>
          </c:val>
        </c:ser>
        <c:ser>
          <c:idx val="5"/>
          <c:order val="2"/>
          <c:tx>
            <c:v>2008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Ref>
              <c:f>'[1]tabla dinámica men'!$A$2:$A$13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men'!$D$20:$D$31</c:f>
              <c:numCache>
                <c:formatCode>#,##0</c:formatCode>
                <c:ptCount val="12"/>
                <c:pt idx="0">
                  <c:v>147131</c:v>
                </c:pt>
                <c:pt idx="1">
                  <c:v>168254</c:v>
                </c:pt>
                <c:pt idx="2">
                  <c:v>183447</c:v>
                </c:pt>
                <c:pt idx="3">
                  <c:v>154022</c:v>
                </c:pt>
                <c:pt idx="4">
                  <c:v>153505</c:v>
                </c:pt>
                <c:pt idx="5">
                  <c:v>146363</c:v>
                </c:pt>
                <c:pt idx="6">
                  <c:v>161273</c:v>
                </c:pt>
                <c:pt idx="7">
                  <c:v>187998</c:v>
                </c:pt>
                <c:pt idx="8">
                  <c:v>137440</c:v>
                </c:pt>
                <c:pt idx="9">
                  <c:v>160443</c:v>
                </c:pt>
                <c:pt idx="10">
                  <c:v>149092</c:v>
                </c:pt>
                <c:pt idx="11">
                  <c:v>141832</c:v>
                </c:pt>
              </c:numCache>
            </c:numRef>
          </c:val>
        </c:ser>
        <c:ser>
          <c:idx val="6"/>
          <c:order val="3"/>
          <c:tx>
            <c:v>2009</c:v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Ref>
              <c:f>'[1]tabla dinámica men'!$A$2:$A$13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men'!$E$20:$E$31</c:f>
              <c:numCache>
                <c:formatCode>#,##0</c:formatCode>
                <c:ptCount val="12"/>
                <c:pt idx="0">
                  <c:v>136344</c:v>
                </c:pt>
                <c:pt idx="1">
                  <c:v>133792</c:v>
                </c:pt>
                <c:pt idx="2">
                  <c:v>135071</c:v>
                </c:pt>
                <c:pt idx="3">
                  <c:v>143027</c:v>
                </c:pt>
                <c:pt idx="4">
                  <c:v>123885</c:v>
                </c:pt>
                <c:pt idx="5">
                  <c:v>121387</c:v>
                </c:pt>
                <c:pt idx="6">
                  <c:v>152332</c:v>
                </c:pt>
                <c:pt idx="7">
                  <c:v>170260</c:v>
                </c:pt>
                <c:pt idx="8">
                  <c:v>124595</c:v>
                </c:pt>
                <c:pt idx="9">
                  <c:v>145358</c:v>
                </c:pt>
                <c:pt idx="10">
                  <c:v>130907</c:v>
                </c:pt>
                <c:pt idx="11">
                  <c:v>132073</c:v>
                </c:pt>
              </c:numCache>
            </c:numRef>
          </c:val>
        </c:ser>
        <c:ser>
          <c:idx val="8"/>
          <c:order val="4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'[1]tabla dinámica men'!$A$2:$A$13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men'!$F$20:$F$31</c:f>
              <c:numCache>
                <c:formatCode>#,##0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</c:numCache>
            </c:numRef>
          </c:val>
        </c:ser>
        <c:dLbls>
          <c:showVal val="1"/>
        </c:dLbls>
        <c:marker val="1"/>
        <c:axId val="202439680"/>
        <c:axId val="202442240"/>
      </c:lineChart>
      <c:catAx>
        <c:axId val="2024396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2442240"/>
        <c:crosses val="autoZero"/>
        <c:auto val="1"/>
        <c:lblAlgn val="ctr"/>
        <c:lblOffset val="100"/>
        <c:tickLblSkip val="1"/>
        <c:tickMarkSkip val="1"/>
      </c:catAx>
      <c:valAx>
        <c:axId val="202442240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24396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0.12009264970911002"/>
          <c:w val="0.9"/>
          <c:h val="4.969943273219882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888" r="0.75000000000000888" t="1" header="0" footer="0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categ'!$B$7:$G$7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04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0"/>
          <c:order val="0"/>
          <c:tx>
            <c:strRef>
              <c:f>'Pernoctaciones  tipolog y categ'!$C$8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categ'!$B$10,'Pernoctaciones  tipolog y categ'!$B$12:$B$16,'Pernoctaciones  tipolog y categ'!$B$18)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categ'!$C$10,'Pernoctaciones  tipolog y categ'!$C$12:$C$16,'Pernoctaciones  tipolog y categ'!$C$18)</c:f>
              <c:numCache>
                <c:formatCode>#,##0_)</c:formatCode>
                <c:ptCount val="7"/>
                <c:pt idx="0">
                  <c:v>7711663</c:v>
                </c:pt>
                <c:pt idx="1">
                  <c:v>4759902</c:v>
                </c:pt>
                <c:pt idx="2">
                  <c:v>582693</c:v>
                </c:pt>
                <c:pt idx="3">
                  <c:v>3153691</c:v>
                </c:pt>
                <c:pt idx="4">
                  <c:v>954574</c:v>
                </c:pt>
                <c:pt idx="5">
                  <c:v>68944</c:v>
                </c:pt>
                <c:pt idx="6">
                  <c:v>2951761</c:v>
                </c:pt>
              </c:numCache>
            </c:numRef>
          </c:val>
        </c:ser>
        <c:ser>
          <c:idx val="2"/>
          <c:order val="1"/>
          <c:tx>
            <c:strRef>
              <c:f>'Pernoctaciones  tipolog y categ'!$E$8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categ'!$B$10,'Pernoctaciones  tipolog y categ'!$B$12:$B$16,'Pernoctaciones  tipolog y categ'!$B$18)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categ'!$E$10,'Pernoctaciones  tipolog y categ'!$E$12:$E$16,'Pernoctaciones  tipolog y categ'!$E$18)</c:f>
              <c:numCache>
                <c:formatCode>#,##0_)</c:formatCode>
                <c:ptCount val="7"/>
                <c:pt idx="0">
                  <c:v>7698603</c:v>
                </c:pt>
                <c:pt idx="1">
                  <c:v>4862858</c:v>
                </c:pt>
                <c:pt idx="2">
                  <c:v>632980</c:v>
                </c:pt>
                <c:pt idx="3">
                  <c:v>3356200</c:v>
                </c:pt>
                <c:pt idx="4">
                  <c:v>803958</c:v>
                </c:pt>
                <c:pt idx="5">
                  <c:v>69720</c:v>
                </c:pt>
                <c:pt idx="6">
                  <c:v>2835745</c:v>
                </c:pt>
              </c:numCache>
            </c:numRef>
          </c:val>
        </c:ser>
        <c:dLbls>
          <c:showVal val="1"/>
        </c:dLbls>
        <c:gapWidth val="30"/>
        <c:overlap val="-10"/>
        <c:axId val="203608832"/>
        <c:axId val="203610752"/>
      </c:barChart>
      <c:lineChart>
        <c:grouping val="standard"/>
        <c:ser>
          <c:idx val="1"/>
          <c:order val="2"/>
          <c:tx>
            <c:strRef>
              <c:f>'Pernoctaciones  tipolog y categ'!$G$8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6534613714388733E-2"/>
                  <c:y val="-0.3405422545532062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91203388858402E-2"/>
                  <c:y val="-0.1344098485151286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0536023007529919E-2"/>
                  <c:y val="0.2614882022995859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004612976967886E-2"/>
                  <c:y val="3.691994084495783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6272091899022512E-2"/>
                  <c:y val="-0.1789674514036003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49646447679863E-2"/>
                  <c:y val="0.1834032801737352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604553983301518E-2"/>
                  <c:y val="-0.1078598931478741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categ'!$G$10,'Pernoctaciones  tipolog y categ'!$G$12:$G$16,'Pernoctaciones  tipolog y categ'!$G$18)</c:f>
              <c:numCache>
                <c:formatCode>0.00%</c:formatCode>
                <c:ptCount val="7"/>
                <c:pt idx="0">
                  <c:v>-1.6935387347709566E-3</c:v>
                </c:pt>
                <c:pt idx="1">
                  <c:v>2.1629857085292931E-2</c:v>
                </c:pt>
                <c:pt idx="2">
                  <c:v>8.630101957634638E-2</c:v>
                </c:pt>
                <c:pt idx="3">
                  <c:v>6.4213329714293499E-2</c:v>
                </c:pt>
                <c:pt idx="4">
                  <c:v>-0.15778347199902784</c:v>
                </c:pt>
                <c:pt idx="5">
                  <c:v>1.1255511719656533E-2</c:v>
                </c:pt>
                <c:pt idx="6">
                  <c:v>-3.9303995140527979E-2</c:v>
                </c:pt>
              </c:numCache>
            </c:numRef>
          </c:val>
        </c:ser>
        <c:dLbls>
          <c:showVal val="1"/>
        </c:dLbls>
        <c:marker val="1"/>
        <c:axId val="203620736"/>
        <c:axId val="203622272"/>
      </c:lineChart>
      <c:catAx>
        <c:axId val="2036088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3610752"/>
        <c:crosses val="autoZero"/>
        <c:auto val="1"/>
        <c:lblAlgn val="ctr"/>
        <c:lblOffset val="100"/>
        <c:tickLblSkip val="1"/>
        <c:tickMarkSkip val="1"/>
      </c:catAx>
      <c:valAx>
        <c:axId val="20361075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03608832"/>
        <c:crosses val="autoZero"/>
        <c:crossBetween val="between"/>
      </c:valAx>
      <c:catAx>
        <c:axId val="203620736"/>
        <c:scaling>
          <c:orientation val="minMax"/>
        </c:scaling>
        <c:delete val="1"/>
        <c:axPos val="b"/>
        <c:tickLblPos val="none"/>
        <c:crossAx val="203622272"/>
        <c:crosses val="autoZero"/>
        <c:auto val="1"/>
        <c:lblAlgn val="ctr"/>
        <c:lblOffset val="100"/>
      </c:catAx>
      <c:valAx>
        <c:axId val="203622272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2036207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1610690963317411"/>
          <c:y val="9.6525040968865647E-2"/>
          <c:w val="0.62760465879265093"/>
          <c:h val="8.048789586580855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1" r="0.7500000000000091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mensual'!$B$6:$F$6</c:f>
          <c:strCache>
            <c:ptCount val="1"/>
            <c:pt idx="0">
              <c:v>EVOLUCIÓN  DE PERNOCTACIONES EN ADEJE</c:v>
            </c:pt>
          </c:strCache>
        </c:strRef>
      </c:tx>
      <c:layout>
        <c:manualLayout>
          <c:xMode val="edge"/>
          <c:yMode val="edge"/>
          <c:x val="0.22171051199245256"/>
          <c:y val="2.51237857902393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452"/>
          <c:y val="0.24875682320046091"/>
          <c:w val="0.83717483495168965"/>
          <c:h val="0.50995148756094422"/>
        </c:manualLayout>
      </c:layout>
      <c:lineChart>
        <c:grouping val="standard"/>
        <c:ser>
          <c:idx val="2"/>
          <c:order val="0"/>
          <c:tx>
            <c:strRef>
              <c:f>'[1]tabla dinámica pernocta men'!$B$19</c:f>
              <c:strCache>
                <c:ptCount val="1"/>
                <c:pt idx="0">
                  <c:v>2006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'[1]tabla dinámica pernocta men'!$A$2:$A$13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pernocta men'!$B$20:$B$31</c:f>
              <c:numCache>
                <c:formatCode>#,##0</c:formatCode>
                <c:ptCount val="12"/>
                <c:pt idx="0">
                  <c:v>1464283</c:v>
                </c:pt>
                <c:pt idx="1">
                  <c:v>1323862</c:v>
                </c:pt>
                <c:pt idx="2">
                  <c:v>1438644</c:v>
                </c:pt>
                <c:pt idx="3">
                  <c:v>1405505</c:v>
                </c:pt>
                <c:pt idx="4">
                  <c:v>1129932</c:v>
                </c:pt>
                <c:pt idx="5">
                  <c:v>1201011</c:v>
                </c:pt>
                <c:pt idx="6">
                  <c:v>1527198</c:v>
                </c:pt>
                <c:pt idx="7">
                  <c:v>1735087</c:v>
                </c:pt>
                <c:pt idx="8">
                  <c:v>1316980</c:v>
                </c:pt>
                <c:pt idx="9">
                  <c:v>1406980</c:v>
                </c:pt>
                <c:pt idx="10">
                  <c:v>1324632</c:v>
                </c:pt>
                <c:pt idx="11">
                  <c:v>1311273</c:v>
                </c:pt>
              </c:numCache>
            </c:numRef>
          </c:val>
        </c:ser>
        <c:ser>
          <c:idx val="4"/>
          <c:order val="1"/>
          <c:tx>
            <c:strRef>
              <c:f>'[1]tabla dinámica pernocta men'!$C$19</c:f>
              <c:strCache>
                <c:ptCount val="1"/>
                <c:pt idx="0">
                  <c:v>2007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Ref>
              <c:f>'[1]tabla dinámica pernocta men'!$A$2:$A$13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pernocta men'!$C$20:$C$31</c:f>
              <c:numCache>
                <c:formatCode>#,##0</c:formatCode>
                <c:ptCount val="12"/>
                <c:pt idx="0">
                  <c:v>1404527</c:v>
                </c:pt>
                <c:pt idx="1">
                  <c:v>1289129</c:v>
                </c:pt>
                <c:pt idx="2">
                  <c:v>1417981</c:v>
                </c:pt>
                <c:pt idx="3">
                  <c:v>1297024</c:v>
                </c:pt>
                <c:pt idx="4">
                  <c:v>1005170</c:v>
                </c:pt>
                <c:pt idx="5">
                  <c:v>1098012</c:v>
                </c:pt>
                <c:pt idx="6">
                  <c:v>1412283</c:v>
                </c:pt>
                <c:pt idx="7">
                  <c:v>1637049</c:v>
                </c:pt>
                <c:pt idx="8">
                  <c:v>1243435</c:v>
                </c:pt>
                <c:pt idx="9">
                  <c:v>1374688</c:v>
                </c:pt>
                <c:pt idx="10">
                  <c:v>1383657</c:v>
                </c:pt>
                <c:pt idx="11">
                  <c:v>1360021</c:v>
                </c:pt>
              </c:numCache>
            </c:numRef>
          </c:val>
        </c:ser>
        <c:ser>
          <c:idx val="5"/>
          <c:order val="2"/>
          <c:tx>
            <c:strRef>
              <c:f>'[1]tabla dinámica pernocta men'!$D$19</c:f>
              <c:strCache>
                <c:ptCount val="1"/>
                <c:pt idx="0">
                  <c:v>2008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Ref>
              <c:f>'[1]tabla dinámica pernocta men'!$A$2:$A$13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pernocta men'!$D$20:$D$31</c:f>
              <c:numCache>
                <c:formatCode>#,##0</c:formatCode>
                <c:ptCount val="12"/>
                <c:pt idx="0">
                  <c:v>1450612</c:v>
                </c:pt>
                <c:pt idx="1">
                  <c:v>1396701</c:v>
                </c:pt>
                <c:pt idx="2">
                  <c:v>1510529</c:v>
                </c:pt>
                <c:pt idx="3">
                  <c:v>1317343</c:v>
                </c:pt>
                <c:pt idx="4">
                  <c:v>1199679</c:v>
                </c:pt>
                <c:pt idx="5">
                  <c:v>1216644</c:v>
                </c:pt>
                <c:pt idx="6">
                  <c:v>1494871</c:v>
                </c:pt>
                <c:pt idx="7">
                  <c:v>1598939</c:v>
                </c:pt>
                <c:pt idx="8">
                  <c:v>1192452</c:v>
                </c:pt>
                <c:pt idx="9">
                  <c:v>1286603</c:v>
                </c:pt>
                <c:pt idx="10">
                  <c:v>1256182</c:v>
                </c:pt>
                <c:pt idx="11">
                  <c:v>1227173</c:v>
                </c:pt>
              </c:numCache>
            </c:numRef>
          </c:val>
        </c:ser>
        <c:ser>
          <c:idx val="6"/>
          <c:order val="3"/>
          <c:tx>
            <c:strRef>
              <c:f>'[1]tabla dinámica pernocta men'!$E$19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Ref>
              <c:f>'[1]tabla dinámica pernocta men'!$A$2:$A$13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pernocta men'!$E$20:$E$31</c:f>
              <c:numCache>
                <c:formatCode>#,##0</c:formatCode>
                <c:ptCount val="12"/>
                <c:pt idx="0">
                  <c:v>1242918</c:v>
                </c:pt>
                <c:pt idx="1">
                  <c:v>1108945</c:v>
                </c:pt>
                <c:pt idx="2">
                  <c:v>1158100</c:v>
                </c:pt>
                <c:pt idx="3">
                  <c:v>1101209</c:v>
                </c:pt>
                <c:pt idx="4">
                  <c:v>902016</c:v>
                </c:pt>
                <c:pt idx="5">
                  <c:v>969193</c:v>
                </c:pt>
                <c:pt idx="6">
                  <c:v>1229282</c:v>
                </c:pt>
                <c:pt idx="7">
                  <c:v>1396843</c:v>
                </c:pt>
                <c:pt idx="8">
                  <c:v>1057672</c:v>
                </c:pt>
                <c:pt idx="9">
                  <c:v>1098407</c:v>
                </c:pt>
                <c:pt idx="10">
                  <c:v>1140718</c:v>
                </c:pt>
                <c:pt idx="11">
                  <c:v>1114181</c:v>
                </c:pt>
              </c:numCache>
            </c:numRef>
          </c:val>
        </c:ser>
        <c:ser>
          <c:idx val="7"/>
          <c:order val="4"/>
          <c:tx>
            <c:strRef>
              <c:f>'[1]tabla dinámica pernocta men'!$F$19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5"/>
            <c:spPr>
              <a:solidFill>
                <a:srgbClr val="4F81BD"/>
              </a:solidFill>
              <a:ln>
                <a:solidFill>
                  <a:srgbClr val="4F81BD"/>
                </a:solidFill>
              </a:ln>
            </c:spPr>
          </c:marker>
          <c:dLbls>
            <c:delete val="1"/>
          </c:dLbls>
          <c:cat>
            <c:strRef>
              <c:f>'[1]tabla dinámica pernocta men'!$A$2:$A$13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pernocta men'!$F$20:$F$31</c:f>
              <c:numCache>
                <c:formatCode>#,##0</c:formatCode>
                <c:ptCount val="12"/>
                <c:pt idx="0">
                  <c:v>1162355</c:v>
                </c:pt>
                <c:pt idx="1">
                  <c:v>1081197</c:v>
                </c:pt>
                <c:pt idx="2">
                  <c:v>1138233</c:v>
                </c:pt>
                <c:pt idx="3">
                  <c:v>1061280</c:v>
                </c:pt>
                <c:pt idx="4">
                  <c:v>952550</c:v>
                </c:pt>
                <c:pt idx="5">
                  <c:v>996641</c:v>
                </c:pt>
                <c:pt idx="6">
                  <c:v>1306347</c:v>
                </c:pt>
              </c:numCache>
            </c:numRef>
          </c:val>
        </c:ser>
        <c:dLbls>
          <c:showVal val="1"/>
        </c:dLbls>
        <c:marker val="1"/>
        <c:axId val="204190464"/>
        <c:axId val="204192768"/>
      </c:lineChart>
      <c:catAx>
        <c:axId val="2041904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4192768"/>
        <c:crosses val="autoZero"/>
        <c:auto val="1"/>
        <c:lblAlgn val="ctr"/>
        <c:lblOffset val="100"/>
        <c:tickLblSkip val="1"/>
        <c:tickMarkSkip val="1"/>
      </c:catAx>
      <c:valAx>
        <c:axId val="204192768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41904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592E-2"/>
          <c:w val="0.87417508295334523"/>
          <c:h val="5.361115278982835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888" r="0.75000000000000888" t="1" header="0" footer="0"/>
    <c:pageSetup paperSize="9" orientation="landscape" horizontalDpi="1200" verticalDpi="12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'!$C$3:$J$3</c:f>
          <c:strCache>
            <c:ptCount val="1"/>
            <c:pt idx="0">
              <c:v>TURISTAS  ALOJADOS EN ADEJE</c:v>
            </c:pt>
          </c:strCache>
        </c:strRef>
      </c:tx>
      <c:layout>
        <c:manualLayout>
          <c:xMode val="edge"/>
          <c:yMode val="edge"/>
          <c:x val="0.24219526285384171"/>
          <c:y val="3.5938903863432202E-3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086"/>
          <c:y val="0.25962782429974707"/>
          <c:w val="0.83325053642039193"/>
          <c:h val="0.47650548004266741"/>
        </c:manualLayout>
      </c:layout>
      <c:lineChart>
        <c:grouping val="standard"/>
        <c:ser>
          <c:idx val="0"/>
          <c:order val="0"/>
          <c:tx>
            <c:v>2007</c:v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'tablas Zonas mensual '!$C$5:$C$16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'!$D$5:$D$16</c:f>
              <c:numCache>
                <c:formatCode>#,##0</c:formatCode>
                <c:ptCount val="12"/>
                <c:pt idx="0">
                  <c:v>146244</c:v>
                </c:pt>
                <c:pt idx="1">
                  <c:v>151411</c:v>
                </c:pt>
                <c:pt idx="2">
                  <c:v>174351</c:v>
                </c:pt>
                <c:pt idx="3">
                  <c:v>160991</c:v>
                </c:pt>
                <c:pt idx="4">
                  <c:v>116128</c:v>
                </c:pt>
                <c:pt idx="5">
                  <c:v>144506</c:v>
                </c:pt>
                <c:pt idx="6">
                  <c:v>160319</c:v>
                </c:pt>
                <c:pt idx="7">
                  <c:v>185642</c:v>
                </c:pt>
                <c:pt idx="8">
                  <c:v>142373</c:v>
                </c:pt>
                <c:pt idx="9">
                  <c:v>170847</c:v>
                </c:pt>
                <c:pt idx="10">
                  <c:v>165776</c:v>
                </c:pt>
                <c:pt idx="11">
                  <c:v>149594</c:v>
                </c:pt>
              </c:numCache>
            </c:numRef>
          </c:val>
        </c:ser>
        <c:ser>
          <c:idx val="1"/>
          <c:order val="1"/>
          <c:tx>
            <c:v>2008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'!$C$5:$C$16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'!$E$5:$E$16</c:f>
              <c:numCache>
                <c:formatCode>#,##0</c:formatCode>
                <c:ptCount val="12"/>
                <c:pt idx="0">
                  <c:v>147131</c:v>
                </c:pt>
                <c:pt idx="1">
                  <c:v>168254</c:v>
                </c:pt>
                <c:pt idx="2">
                  <c:v>183447</c:v>
                </c:pt>
                <c:pt idx="3">
                  <c:v>154022</c:v>
                </c:pt>
                <c:pt idx="4">
                  <c:v>153505</c:v>
                </c:pt>
                <c:pt idx="5">
                  <c:v>146363</c:v>
                </c:pt>
                <c:pt idx="6">
                  <c:v>161273</c:v>
                </c:pt>
                <c:pt idx="7">
                  <c:v>187998</c:v>
                </c:pt>
                <c:pt idx="8">
                  <c:v>137440</c:v>
                </c:pt>
                <c:pt idx="9">
                  <c:v>160443</c:v>
                </c:pt>
                <c:pt idx="10">
                  <c:v>149092</c:v>
                </c:pt>
                <c:pt idx="11">
                  <c:v>141832</c:v>
                </c:pt>
              </c:numCache>
            </c:numRef>
          </c:val>
        </c:ser>
        <c:ser>
          <c:idx val="2"/>
          <c:order val="2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'!$C$5:$C$16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'!$F$5:$F$16</c:f>
              <c:numCache>
                <c:formatCode>#,##0</c:formatCode>
                <c:ptCount val="12"/>
                <c:pt idx="0">
                  <c:v>136344</c:v>
                </c:pt>
                <c:pt idx="1">
                  <c:v>133792</c:v>
                </c:pt>
                <c:pt idx="2">
                  <c:v>135071</c:v>
                </c:pt>
                <c:pt idx="3">
                  <c:v>143027</c:v>
                </c:pt>
                <c:pt idx="4">
                  <c:v>123885</c:v>
                </c:pt>
                <c:pt idx="5">
                  <c:v>121387</c:v>
                </c:pt>
                <c:pt idx="6">
                  <c:v>152332</c:v>
                </c:pt>
                <c:pt idx="7">
                  <c:v>170260</c:v>
                </c:pt>
                <c:pt idx="8">
                  <c:v>124595</c:v>
                </c:pt>
                <c:pt idx="9">
                  <c:v>145358</c:v>
                </c:pt>
                <c:pt idx="10">
                  <c:v>130907</c:v>
                </c:pt>
                <c:pt idx="11">
                  <c:v>132073</c:v>
                </c:pt>
              </c:numCache>
            </c:numRef>
          </c:val>
        </c:ser>
        <c:ser>
          <c:idx val="3"/>
          <c:order val="3"/>
          <c:tx>
            <c:v>2010</c:v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F81BD"/>
                </a:solidFill>
              </a:ln>
            </c:spPr>
          </c:marker>
          <c:cat>
            <c:strRef>
              <c:f>'tablas Zonas mensual '!$C$5:$C$16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'!$G$5:$G$10,'tablas Zonas mensual '!$G$11)</c:f>
              <c:numCache>
                <c:formatCode>#,##0</c:formatCode>
                <c:ptCount val="7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</c:numCache>
            </c:numRef>
          </c:val>
        </c:ser>
        <c:marker val="1"/>
        <c:axId val="148375040"/>
        <c:axId val="148376192"/>
      </c:lineChart>
      <c:catAx>
        <c:axId val="14837504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48376192"/>
        <c:crosses val="autoZero"/>
        <c:auto val="1"/>
        <c:lblAlgn val="ctr"/>
        <c:lblOffset val="100"/>
      </c:catAx>
      <c:valAx>
        <c:axId val="14837619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48375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752"/>
          <c:y val="0.16367086189697985"/>
          <c:w val="0.47740773522508834"/>
          <c:h val="6.3562948740286035E-2"/>
        </c:manualLayout>
      </c:layout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188" l="0.70000000000000062" r="0.70000000000000062" t="0.75000000000001188" header="0.30000000000000032" footer="0.30000000000000032"/>
    <c:pageSetup/>
  </c:printSettings>
  <c:userShapes r:id="rId2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7657808398950943"/>
          <c:y val="0.14378556966093525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5897965611441431"/>
          <c:w val="0.91406319737487662"/>
          <c:h val="0.31863628475012051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'!$D$7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('IO zona y Tipología '!$D$9:$D$11,'IO zona y Tipología '!$D$13:$D$15,'IO zona y Tipología '!$D$17:$D$19)</c:f>
              <c:numCache>
                <c:formatCode>#,##0.00_)</c:formatCode>
                <c:ptCount val="9"/>
                <c:pt idx="0">
                  <c:v>54.358202977071883</c:v>
                </c:pt>
                <c:pt idx="1">
                  <c:v>63.816408769433401</c:v>
                </c:pt>
                <c:pt idx="2">
                  <c:v>45.442623699464505</c:v>
                </c:pt>
                <c:pt idx="3">
                  <c:v>55.400707288807013</c:v>
                </c:pt>
                <c:pt idx="4">
                  <c:v>66.68661485953028</c:v>
                </c:pt>
                <c:pt idx="5">
                  <c:v>46.084330335225509</c:v>
                </c:pt>
                <c:pt idx="6">
                  <c:v>57.336689255463426</c:v>
                </c:pt>
                <c:pt idx="7">
                  <c:v>69.815886269859277</c:v>
                </c:pt>
                <c:pt idx="8">
                  <c:v>43.885093047549042</c:v>
                </c:pt>
              </c:numCache>
            </c:numRef>
          </c:val>
        </c:ser>
        <c:dLbls>
          <c:showVal val="1"/>
        </c:dLbls>
        <c:gapWidth val="30"/>
        <c:axId val="205501568"/>
        <c:axId val="205503488"/>
      </c:barChart>
      <c:catAx>
        <c:axId val="2055015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ZONA 1: S/C de Tenerife. ZONA 2: La Laguna, Bajamar, Punta del Hidalgo, Tacoronte
ZONA 3: Puerto de La Cruz y Resto del Norte. ZONA 4: Sur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4905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5503488"/>
        <c:crosses val="autoZero"/>
        <c:auto val="1"/>
        <c:lblAlgn val="ctr"/>
        <c:lblOffset val="100"/>
        <c:tickLblSkip val="1"/>
        <c:tickMarkSkip val="1"/>
      </c:catAx>
      <c:valAx>
        <c:axId val="205503488"/>
        <c:scaling>
          <c:orientation val="minMax"/>
        </c:scaling>
        <c:delete val="1"/>
        <c:axPos val="l"/>
        <c:numFmt formatCode="#,##0.00_)" sourceLinked="1"/>
        <c:tickLblPos val="none"/>
        <c:crossAx val="205501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1" r="0.7500000000000091" t="1" header="0" footer="0"/>
    <c:pageSetup paperSize="9"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600"/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2682134072863532"/>
          <c:y val="1.016842204187392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4376516234703397"/>
          <c:w val="0.90049538618993386"/>
          <c:h val="0.49769820971867512"/>
        </c:manualLayout>
      </c:layout>
      <c:barChart>
        <c:barDir val="col"/>
        <c:grouping val="clustered"/>
        <c:ser>
          <c:idx val="0"/>
          <c:order val="0"/>
          <c:tx>
            <c:strRef>
              <c:f>'IO tipología y categoría'!$C$8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categoría'!$B$10,'IO tipología y categoría'!$B$12:$B$16,'IO tipología y categoría'!$B$18)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categoría'!$C$10,'IO tipología y categoría'!$C$12:$C$16,'IO tipología y categoría'!$C$18)</c:f>
              <c:numCache>
                <c:formatCode>#,##0.00_)</c:formatCode>
                <c:ptCount val="7"/>
                <c:pt idx="0">
                  <c:v>55.615451674608849</c:v>
                </c:pt>
                <c:pt idx="1">
                  <c:v>66.215013478371304</c:v>
                </c:pt>
                <c:pt idx="2">
                  <c:v>60.808670061779935</c:v>
                </c:pt>
                <c:pt idx="3">
                  <c:v>68.555698158423098</c:v>
                </c:pt>
                <c:pt idx="4">
                  <c:v>62.37064566418772</c:v>
                </c:pt>
                <c:pt idx="5">
                  <c:v>69.193095142513044</c:v>
                </c:pt>
                <c:pt idx="6">
                  <c:v>44.204648752749911</c:v>
                </c:pt>
              </c:numCache>
            </c:numRef>
          </c:val>
        </c:ser>
        <c:ser>
          <c:idx val="2"/>
          <c:order val="1"/>
          <c:tx>
            <c:strRef>
              <c:f>'IO tipología y categoría'!$D$8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categoría'!$B$10,'IO tipología y categoría'!$B$12:$B$16,'IO tipología y categoría'!$B$18)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categoría'!$D$10,'IO tipología y categoría'!$D$12:$D$16,'IO tipología y categoría'!$D$18)</c:f>
              <c:numCache>
                <c:formatCode>#,##0.00_)</c:formatCode>
                <c:ptCount val="7"/>
                <c:pt idx="0">
                  <c:v>57.336689255463426</c:v>
                </c:pt>
                <c:pt idx="1">
                  <c:v>69.815886269859277</c:v>
                </c:pt>
                <c:pt idx="2">
                  <c:v>65.362406238641242</c:v>
                </c:pt>
                <c:pt idx="3">
                  <c:v>72.957887808063489</c:v>
                </c:pt>
                <c:pt idx="4">
                  <c:v>61.985202958174767</c:v>
                </c:pt>
                <c:pt idx="5">
                  <c:v>69.971898835808915</c:v>
                </c:pt>
                <c:pt idx="6">
                  <c:v>43.885093047549042</c:v>
                </c:pt>
              </c:numCache>
            </c:numRef>
          </c:val>
        </c:ser>
        <c:dLbls>
          <c:showVal val="1"/>
        </c:dLbls>
        <c:gapWidth val="30"/>
        <c:overlap val="-10"/>
        <c:axId val="206004992"/>
        <c:axId val="206006912"/>
      </c:barChart>
      <c:lineChart>
        <c:grouping val="standard"/>
        <c:ser>
          <c:idx val="1"/>
          <c:order val="2"/>
          <c:tx>
            <c:strRef>
              <c:f>'IO tipología y categoría'!$E$8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6608725796067891E-2"/>
                  <c:y val="-0.255079713501285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5111177140593319E-2"/>
                  <c:y val="-0.2092753623188405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5150794829891624E-2"/>
                  <c:y val="-8.6148579253680233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943412733785642E-2"/>
                  <c:y val="-0.1878059488088287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6.0554317502764965E-2"/>
                  <c:y val="-0.4738683367903819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57983789762093E-2"/>
                  <c:y val="-0.4325714400789417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4863401508773744E-2"/>
                  <c:y val="-0.3638740425988953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categoría'!$E$10,'IO tipología y categoría'!$E$12:$E$16,'IO tipología y categoría'!$E$18)</c:f>
              <c:numCache>
                <c:formatCode>0.00%</c:formatCode>
                <c:ptCount val="7"/>
                <c:pt idx="0">
                  <c:v>3.0948909503155209E-2</c:v>
                </c:pt>
                <c:pt idx="1">
                  <c:v>5.4381515646208856E-2</c:v>
                </c:pt>
                <c:pt idx="2">
                  <c:v>7.4886297829484416E-2</c:v>
                </c:pt>
                <c:pt idx="3">
                  <c:v>6.4213329714293277E-2</c:v>
                </c:pt>
                <c:pt idx="4">
                  <c:v>-6.179873591308116E-3</c:v>
                </c:pt>
                <c:pt idx="5">
                  <c:v>1.1255511719656663E-2</c:v>
                </c:pt>
                <c:pt idx="6">
                  <c:v>-7.2290067723022045E-3</c:v>
                </c:pt>
              </c:numCache>
            </c:numRef>
          </c:val>
        </c:ser>
        <c:dLbls>
          <c:showVal val="1"/>
        </c:dLbls>
        <c:marker val="1"/>
        <c:axId val="206012800"/>
        <c:axId val="206014336"/>
      </c:lineChart>
      <c:catAx>
        <c:axId val="2060049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1.0908070453457723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6006912"/>
        <c:crosses val="autoZero"/>
        <c:auto val="1"/>
        <c:lblAlgn val="ctr"/>
        <c:lblOffset val="100"/>
        <c:tickLblSkip val="1"/>
        <c:tickMarkSkip val="1"/>
      </c:catAx>
      <c:valAx>
        <c:axId val="206006912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06004992"/>
        <c:crosses val="autoZero"/>
        <c:crossBetween val="between"/>
      </c:valAx>
      <c:catAx>
        <c:axId val="206012800"/>
        <c:scaling>
          <c:orientation val="minMax"/>
        </c:scaling>
        <c:delete val="1"/>
        <c:axPos val="b"/>
        <c:tickLblPos val="none"/>
        <c:crossAx val="206014336"/>
        <c:crosses val="autoZero"/>
        <c:auto val="1"/>
        <c:lblAlgn val="ctr"/>
        <c:lblOffset val="100"/>
      </c:catAx>
      <c:valAx>
        <c:axId val="206014336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2060128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430891893230341"/>
          <c:y val="0.14049231058394063"/>
          <c:w val="0.62565228874692558"/>
          <c:h val="4.979734310704793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899" r="0.75000000000000899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mensual'!$B$6:$F$6</c:f>
          <c:strCache>
            <c:ptCount val="1"/>
            <c:pt idx="0">
              <c:v>EVOLUCIÓN  DE INDICES DE OCUPACIÓN EN ESTABLECIMIENTOS ALOJATIVOS DE ADEJE</c:v>
            </c:pt>
          </c:strCache>
        </c:strRef>
      </c:tx>
      <c:layout>
        <c:manualLayout>
          <c:xMode val="edge"/>
          <c:yMode val="edge"/>
          <c:x val="0.19146683464566941"/>
          <c:y val="4.62941364869682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337"/>
          <c:h val="0.52764976958525345"/>
        </c:manualLayout>
      </c:layout>
      <c:lineChart>
        <c:grouping val="standard"/>
        <c:ser>
          <c:idx val="2"/>
          <c:order val="0"/>
          <c:tx>
            <c:strRef>
              <c:f>'[1]tabla dinámica IO men'!$B$97</c:f>
              <c:strCache>
                <c:ptCount val="1"/>
                <c:pt idx="0">
                  <c:v>2006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'[1]tabla dinámica IO men'!$A$514:$A$525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('[1]tabla dinámica IO men'!$B$105,'[1]tabla dinámica IO men'!$B$113,'[1]tabla dinámica IO men'!$B$121,'[1]tabla dinámica IO men'!$B$129,'[1]tabla dinámica IO men'!$B$137,'[1]tabla dinámica IO men'!$B$145,'[1]tabla dinámica IO men'!$B$153,'[1]tabla dinámica IO men'!$B$161,'[1]tabla dinámica IO men'!$B$169,'[1]tabla dinámica IO men'!$B$177,'[1]tabla dinámica IO men'!$B$185,'[1]tabla dinámica IO men'!$B$193)</c:f>
              <c:numCache>
                <c:formatCode>#,##0.00</c:formatCode>
                <c:ptCount val="12"/>
                <c:pt idx="0">
                  <c:v>69.849999999999994</c:v>
                </c:pt>
                <c:pt idx="1">
                  <c:v>69.92</c:v>
                </c:pt>
                <c:pt idx="2">
                  <c:v>68.63</c:v>
                </c:pt>
                <c:pt idx="3">
                  <c:v>69.28</c:v>
                </c:pt>
                <c:pt idx="4">
                  <c:v>53.9</c:v>
                </c:pt>
                <c:pt idx="5">
                  <c:v>59.2</c:v>
                </c:pt>
                <c:pt idx="6">
                  <c:v>72.569999999999993</c:v>
                </c:pt>
                <c:pt idx="7">
                  <c:v>82.44</c:v>
                </c:pt>
                <c:pt idx="8">
                  <c:v>64.66</c:v>
                </c:pt>
                <c:pt idx="9">
                  <c:v>66.849999999999994</c:v>
                </c:pt>
                <c:pt idx="10">
                  <c:v>65.040000000000006</c:v>
                </c:pt>
                <c:pt idx="11">
                  <c:v>62.31</c:v>
                </c:pt>
              </c:numCache>
            </c:numRef>
          </c:val>
        </c:ser>
        <c:ser>
          <c:idx val="4"/>
          <c:order val="1"/>
          <c:tx>
            <c:strRef>
              <c:f>'[1]tabla dinámica IO men'!$C$97</c:f>
              <c:strCache>
                <c:ptCount val="1"/>
                <c:pt idx="0">
                  <c:v>2007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Ref>
              <c:f>'[1]tabla dinámica IO men'!$A$514:$A$525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('[1]tabla dinámica IO men'!$C$105,'[1]tabla dinámica IO men'!$C$113,'[1]tabla dinámica IO men'!$C$121,'[1]tabla dinámica IO men'!$C$129,'[1]tabla dinámica IO men'!$C$137,'[1]tabla dinámica IO men'!$C$145,'[1]tabla dinámica IO men'!$C$153,'[1]tabla dinámica IO men'!$C$161,'[1]tabla dinámica IO men'!$C$169,'[1]tabla dinámica IO men'!$C$177,'[1]tabla dinámica IO men'!$C$185,'[1]tabla dinámica IO men'!$C$193)</c:f>
              <c:numCache>
                <c:formatCode>#,##0.00</c:formatCode>
                <c:ptCount val="12"/>
                <c:pt idx="0">
                  <c:v>66.69</c:v>
                </c:pt>
                <c:pt idx="1">
                  <c:v>67.77</c:v>
                </c:pt>
                <c:pt idx="2">
                  <c:v>67.33</c:v>
                </c:pt>
                <c:pt idx="3">
                  <c:v>63.64</c:v>
                </c:pt>
                <c:pt idx="4">
                  <c:v>47.73</c:v>
                </c:pt>
                <c:pt idx="5">
                  <c:v>53.87</c:v>
                </c:pt>
                <c:pt idx="6">
                  <c:v>67.010000000000005</c:v>
                </c:pt>
                <c:pt idx="7">
                  <c:v>77.680000000000007</c:v>
                </c:pt>
                <c:pt idx="8">
                  <c:v>60.97</c:v>
                </c:pt>
                <c:pt idx="9">
                  <c:v>65.23</c:v>
                </c:pt>
                <c:pt idx="10">
                  <c:v>67.84</c:v>
                </c:pt>
                <c:pt idx="11">
                  <c:v>64.53</c:v>
                </c:pt>
              </c:numCache>
            </c:numRef>
          </c:val>
        </c:ser>
        <c:ser>
          <c:idx val="5"/>
          <c:order val="2"/>
          <c:tx>
            <c:strRef>
              <c:f>'[1]tabla dinámica IO men'!$D$97</c:f>
              <c:strCache>
                <c:ptCount val="1"/>
                <c:pt idx="0">
                  <c:v>2008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Ref>
              <c:f>'[1]tabla dinámica IO men'!$A$514:$A$525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('[1]tabla dinámica IO men'!$D$105,'[1]tabla dinámica IO men'!$D$113,'[1]tabla dinámica IO men'!$D$121,'[1]tabla dinámica IO men'!$D$129,'[1]tabla dinámica IO men'!$D$137,'[1]tabla dinámica IO men'!$D$145,'[1]tabla dinámica IO men'!$D$153,'[1]tabla dinámica IO men'!$D$161,'[1]tabla dinámica IO men'!$D$169,'[1]tabla dinámica IO men'!$D$177,'[1]tabla dinámica IO men'!$D$185,'[1]tabla dinámica IO men'!$D$193)</c:f>
              <c:numCache>
                <c:formatCode>#,##0.00</c:formatCode>
                <c:ptCount val="12"/>
                <c:pt idx="0">
                  <c:v>69.2</c:v>
                </c:pt>
                <c:pt idx="1">
                  <c:v>71.23</c:v>
                </c:pt>
                <c:pt idx="2">
                  <c:v>72.06</c:v>
                </c:pt>
                <c:pt idx="3">
                  <c:v>64.94</c:v>
                </c:pt>
                <c:pt idx="4">
                  <c:v>57.23</c:v>
                </c:pt>
                <c:pt idx="5">
                  <c:v>59.98</c:v>
                </c:pt>
                <c:pt idx="6">
                  <c:v>72.56</c:v>
                </c:pt>
                <c:pt idx="7">
                  <c:v>77.61</c:v>
                </c:pt>
                <c:pt idx="8">
                  <c:v>59.81</c:v>
                </c:pt>
                <c:pt idx="9">
                  <c:v>62.45</c:v>
                </c:pt>
                <c:pt idx="10">
                  <c:v>63.01</c:v>
                </c:pt>
                <c:pt idx="11">
                  <c:v>59.57</c:v>
                </c:pt>
              </c:numCache>
            </c:numRef>
          </c:val>
        </c:ser>
        <c:ser>
          <c:idx val="6"/>
          <c:order val="3"/>
          <c:tx>
            <c:strRef>
              <c:f>'[1]tabla dinámica IO men'!$E$97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0066FF"/>
              </a:solidFill>
            </a:ln>
          </c:spPr>
          <c:marker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Ref>
              <c:f>'[1]tabla dinámica IO men'!$A$514:$A$525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('[1]tabla dinámica IO men'!$E$105,'[1]tabla dinámica IO men'!$E$113,'[1]tabla dinámica IO men'!$E$121,'[1]tabla dinámica IO men'!$E$129,'[1]tabla dinámica IO men'!$E$137,'[1]tabla dinámica IO men'!$E$145,'[1]tabla dinámica IO men'!$E$153,'[1]tabla dinámica IO men'!$E$161,'[1]tabla dinámica IO men'!$E$169,'[1]tabla dinámica IO men'!$E$177,'[1]tabla dinámica IO men'!$E$185,'[1]tabla dinámica IO men'!$E$193)</c:f>
              <c:numCache>
                <c:formatCode>#,##0.00</c:formatCode>
                <c:ptCount val="12"/>
                <c:pt idx="0">
                  <c:v>61.2</c:v>
                </c:pt>
                <c:pt idx="1">
                  <c:v>60.45</c:v>
                </c:pt>
                <c:pt idx="2">
                  <c:v>57.02</c:v>
                </c:pt>
                <c:pt idx="3">
                  <c:v>56.026629220914671</c:v>
                </c:pt>
                <c:pt idx="4">
                  <c:v>44.41</c:v>
                </c:pt>
                <c:pt idx="5">
                  <c:v>49.310000966670231</c:v>
                </c:pt>
                <c:pt idx="6">
                  <c:v>61.24</c:v>
                </c:pt>
                <c:pt idx="7">
                  <c:v>69.58</c:v>
                </c:pt>
                <c:pt idx="8">
                  <c:v>54.44</c:v>
                </c:pt>
                <c:pt idx="9">
                  <c:v>54.716067561758173</c:v>
                </c:pt>
                <c:pt idx="10">
                  <c:v>58.71787348600666</c:v>
                </c:pt>
                <c:pt idx="11">
                  <c:v>55.501833903122694</c:v>
                </c:pt>
              </c:numCache>
            </c:numRef>
          </c:val>
        </c:ser>
        <c:ser>
          <c:idx val="7"/>
          <c:order val="4"/>
          <c:tx>
            <c:strRef>
              <c:f>'[1]tabla dinámica IO men'!$F$97</c:f>
              <c:strCache>
                <c:ptCount val="1"/>
                <c:pt idx="0">
                  <c:v>2010</c:v>
                </c:pt>
              </c:strCache>
            </c:strRef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'[1]tabla dinámica IO men'!$A$514:$A$525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('[1]tabla dinámica IO men'!$F$105,'[1]tabla dinámica IO men'!$F$113,'[1]tabla dinámica IO men'!$F$121,'[1]tabla dinámica IO men'!$F$129,'[1]tabla dinámica IO men'!$F$137,'[1]tabla dinámica IO men'!$F$145,'[1]tabla dinámica IO men'!$F$153,'[1]tabla dinámica IO men'!$F$161,'[1]tabla dinámica IO men'!$F$169,'[1]tabla dinámica IO men'!$F$177,'[1]tabla dinámica IO men'!$F$185,'[1]tabla dinámica IO men'!$F$192)</c:f>
              <c:numCache>
                <c:formatCode>#,##0.00</c:formatCode>
                <c:ptCount val="12"/>
                <c:pt idx="0">
                  <c:v>59.11</c:v>
                </c:pt>
                <c:pt idx="1">
                  <c:v>60.88</c:v>
                </c:pt>
                <c:pt idx="2">
                  <c:v>57.886163563593087</c:v>
                </c:pt>
                <c:pt idx="3">
                  <c:v>55.771716853224028</c:v>
                </c:pt>
                <c:pt idx="4">
                  <c:v>48.443038554057559</c:v>
                </c:pt>
                <c:pt idx="5">
                  <c:v>52.37484891481423</c:v>
                </c:pt>
                <c:pt idx="6">
                  <c:v>67.123647350193707</c:v>
                </c:pt>
              </c:numCache>
            </c:numRef>
          </c:val>
        </c:ser>
        <c:dLbls>
          <c:showVal val="1"/>
        </c:dLbls>
        <c:marker val="1"/>
        <c:axId val="206497280"/>
        <c:axId val="206508032"/>
      </c:lineChart>
      <c:catAx>
        <c:axId val="2064972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6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6508032"/>
        <c:crosses val="autoZero"/>
        <c:auto val="1"/>
        <c:lblAlgn val="ctr"/>
        <c:lblOffset val="100"/>
        <c:tickLblSkip val="1"/>
        <c:tickMarkSkip val="1"/>
      </c:catAx>
      <c:valAx>
        <c:axId val="206508032"/>
        <c:scaling>
          <c:orientation val="minMax"/>
          <c:max val="100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6497280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418E-2"/>
          <c:y val="0.14589880409231304"/>
          <c:w val="0.89999991601050711"/>
          <c:h val="4.96612904200488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888" r="0.75000000000000888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'!$D$7</c:f>
          <c:strCache>
            <c:ptCount val="1"/>
            <c:pt idx="0">
              <c:v>acumulado julio 2010 </c:v>
            </c:pt>
          </c:strCache>
        </c:strRef>
      </c:tx>
      <c:layout>
        <c:manualLayout>
          <c:xMode val="edge"/>
          <c:yMode val="edge"/>
          <c:x val="0.36586583463338535"/>
          <c:y val="0.13041268049962823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214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'!$D$7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('EM zonas y tipología '!$D$9:$D$11,'EM zonas y tipología '!$D$13:$D$15,'EM zonas y tipología '!$D$17:$D$19)</c:f>
              <c:numCache>
                <c:formatCode>#,##0.00_)</c:formatCode>
                <c:ptCount val="9"/>
                <c:pt idx="0">
                  <c:v>7.464581711616832</c:v>
                </c:pt>
                <c:pt idx="1">
                  <c:v>6.9683565807411521</c:v>
                </c:pt>
                <c:pt idx="2">
                  <c:v>8.2416655582158374</c:v>
                </c:pt>
                <c:pt idx="3">
                  <c:v>7.7207797208759894</c:v>
                </c:pt>
                <c:pt idx="4">
                  <c:v>7.3057424794021841</c:v>
                </c:pt>
                <c:pt idx="5">
                  <c:v>8.280468457294937</c:v>
                </c:pt>
                <c:pt idx="6">
                  <c:v>7.8662886756998951</c:v>
                </c:pt>
                <c:pt idx="7">
                  <c:v>7.5495798162773262</c:v>
                </c:pt>
                <c:pt idx="8">
                  <c:v>8.4760431611669063</c:v>
                </c:pt>
              </c:numCache>
            </c:numRef>
          </c:val>
        </c:ser>
        <c:dLbls>
          <c:showVal val="1"/>
        </c:dLbls>
        <c:gapWidth val="30"/>
        <c:axId val="207646720"/>
        <c:axId val="207648640"/>
      </c:barChart>
      <c:catAx>
        <c:axId val="2076467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3973122705779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7648640"/>
        <c:crosses val="autoZero"/>
        <c:auto val="1"/>
        <c:lblAlgn val="ctr"/>
        <c:lblOffset val="100"/>
        <c:tickLblSkip val="1"/>
        <c:tickMarkSkip val="1"/>
      </c:catAx>
      <c:valAx>
        <c:axId val="207648640"/>
        <c:scaling>
          <c:orientation val="minMax"/>
          <c:max val="8.5"/>
          <c:min val="6"/>
        </c:scaling>
        <c:delete val="1"/>
        <c:axPos val="l"/>
        <c:numFmt formatCode="#,##0.00_)" sourceLinked="1"/>
        <c:tickLblPos val="none"/>
        <c:crossAx val="207646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21" r="0.75000000000000921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600"/>
              <a:t>ESTANCIAS MEDIAS SEGÚN TIPOLOGÍA ALOJATIVA
</a:t>
            </a:r>
          </a:p>
        </c:rich>
      </c:tx>
      <c:layout>
        <c:manualLayout>
          <c:xMode val="edge"/>
          <c:yMode val="edge"/>
          <c:x val="0.16875011313241081"/>
          <c:y val="4.511299005023379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6453261004940612"/>
          <c:w val="0.90886793539522259"/>
          <c:h val="0.47693065607572327"/>
        </c:manualLayout>
      </c:layout>
      <c:barChart>
        <c:barDir val="col"/>
        <c:grouping val="clustered"/>
        <c:ser>
          <c:idx val="0"/>
          <c:order val="0"/>
          <c:tx>
            <c:strRef>
              <c:f>'EM tipología y categoría'!$C$7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categoría'!$B$9,'EM tipología y categoría'!$B$11:$B$15,'EM tipología y categoría'!$B$17)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categoría'!$C$9,'EM tipología y categoría'!$C$11:$C$15,'EM tipología y categoría'!$C$17)</c:f>
              <c:numCache>
                <c:formatCode>#,##0.00_)</c:formatCode>
                <c:ptCount val="7"/>
                <c:pt idx="0">
                  <c:v>8.1532598605680882</c:v>
                </c:pt>
                <c:pt idx="1">
                  <c:v>7.8624342994195553</c:v>
                </c:pt>
                <c:pt idx="2">
                  <c:v>7.0403310578142939</c:v>
                </c:pt>
                <c:pt idx="3">
                  <c:v>7.8551633954368834</c:v>
                </c:pt>
                <c:pt idx="4">
                  <c:v>8.5624304832980513</c:v>
                </c:pt>
                <c:pt idx="5">
                  <c:v>7.1304167959458065</c:v>
                </c:pt>
                <c:pt idx="6">
                  <c:v>8.6704294442486187</c:v>
                </c:pt>
              </c:numCache>
            </c:numRef>
          </c:val>
        </c:ser>
        <c:ser>
          <c:idx val="2"/>
          <c:order val="1"/>
          <c:tx>
            <c:strRef>
              <c:f>'EM tipología y categoría'!$D$7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categoría'!$B$9,'EM tipología y categoría'!$B$11:$B$15,'EM tipología y categoría'!$B$17)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categoría'!$D$9,'EM tipología y categoría'!$D$11:$D$15,'EM tipología y categoría'!$D$17)</c:f>
              <c:numCache>
                <c:formatCode>#,##0.00_)</c:formatCode>
                <c:ptCount val="7"/>
                <c:pt idx="0">
                  <c:v>7.8662886756998951</c:v>
                </c:pt>
                <c:pt idx="1">
                  <c:v>7.5495798162773262</c:v>
                </c:pt>
                <c:pt idx="2">
                  <c:v>6.8197293570074127</c:v>
                </c:pt>
                <c:pt idx="3">
                  <c:v>7.6012954952098388</c:v>
                </c:pt>
                <c:pt idx="4">
                  <c:v>8.0533512306043331</c:v>
                </c:pt>
                <c:pt idx="5">
                  <c:v>7.0084439083232812</c:v>
                </c:pt>
                <c:pt idx="6">
                  <c:v>8.4760431611669063</c:v>
                </c:pt>
              </c:numCache>
            </c:numRef>
          </c:val>
        </c:ser>
        <c:dLbls>
          <c:showVal val="1"/>
        </c:dLbls>
        <c:gapWidth val="30"/>
        <c:overlap val="-10"/>
        <c:axId val="208227328"/>
        <c:axId val="208249984"/>
      </c:barChart>
      <c:lineChart>
        <c:grouping val="standard"/>
        <c:ser>
          <c:idx val="1"/>
          <c:order val="2"/>
          <c:tx>
            <c:strRef>
              <c:f>'EM tipología y categoría'!$E$7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6263997564566E-2"/>
                  <c:y val="-0.2758224817679869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80869515135064E-2"/>
                  <c:y val="-0.2954231072609775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80966603312507E-2"/>
                  <c:y val="-0.1846142562583894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118422893063129E-2"/>
                  <c:y val="-0.2393307778531198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72682842544442E-2"/>
                  <c:y val="-0.4723039453108786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78610158056333E-2"/>
                  <c:y val="-9.8423813016343092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497338302931603E-2"/>
                  <c:y val="-0.235721738649101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452E-2"/>
                  <c:y val="-0.3033856883882512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categoría'!$E$9,'EM tipología y categoría'!$E$11:$E$15,'EM tipología y categoría'!$E$17)</c:f>
              <c:numCache>
                <c:formatCode>#,##0.00_)</c:formatCode>
                <c:ptCount val="7"/>
                <c:pt idx="0">
                  <c:v>-0.28697118486819306</c:v>
                </c:pt>
                <c:pt idx="1">
                  <c:v>-0.31285448314222908</c:v>
                </c:pt>
                <c:pt idx="2">
                  <c:v>-0.22060170080688124</c:v>
                </c:pt>
                <c:pt idx="3">
                  <c:v>-0.25386790022704453</c:v>
                </c:pt>
                <c:pt idx="4">
                  <c:v>-0.50907925269371823</c:v>
                </c:pt>
                <c:pt idx="5">
                  <c:v>-0.12197288762252523</c:v>
                </c:pt>
                <c:pt idx="6">
                  <c:v>-0.19438628308171246</c:v>
                </c:pt>
              </c:numCache>
            </c:numRef>
          </c:val>
        </c:ser>
        <c:dLbls>
          <c:showVal val="1"/>
        </c:dLbls>
        <c:marker val="1"/>
        <c:axId val="208251520"/>
        <c:axId val="208253312"/>
      </c:lineChart>
      <c:catAx>
        <c:axId val="2082273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163E-3"/>
              <c:y val="0.958255666590505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8249984"/>
        <c:crosses val="autoZero"/>
        <c:auto val="1"/>
        <c:lblAlgn val="ctr"/>
        <c:lblOffset val="100"/>
        <c:tickLblSkip val="1"/>
        <c:tickMarkSkip val="1"/>
      </c:catAx>
      <c:valAx>
        <c:axId val="20824998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08227328"/>
        <c:crosses val="autoZero"/>
        <c:crossBetween val="between"/>
      </c:valAx>
      <c:catAx>
        <c:axId val="208251520"/>
        <c:scaling>
          <c:orientation val="minMax"/>
        </c:scaling>
        <c:delete val="1"/>
        <c:axPos val="b"/>
        <c:tickLblPos val="none"/>
        <c:crossAx val="208253312"/>
        <c:crosses val="autoZero"/>
        <c:auto val="1"/>
        <c:lblAlgn val="ctr"/>
        <c:lblOffset val="100"/>
      </c:catAx>
      <c:valAx>
        <c:axId val="208253312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2082515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394507112943213"/>
          <c:y val="0.14390545645766226"/>
          <c:w val="0.60468804252134012"/>
          <c:h val="8.048781501256921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899" r="0.75000000000000899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mensual'!$B$6:$F$6</c:f>
          <c:strCache>
            <c:ptCount val="1"/>
            <c:pt idx="0">
              <c:v>EVOLUCIÓN  DE LA ESTANCIA MEDIA  DE LOS TURISTAS ALOJADOS EN ADEJE</c:v>
            </c:pt>
          </c:strCache>
        </c:strRef>
      </c:tx>
      <c:layout>
        <c:manualLayout>
          <c:xMode val="edge"/>
          <c:yMode val="edge"/>
          <c:x val="0.14671163575042631"/>
          <c:y val="2.518891687657492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329"/>
          <c:h val="0.48866558842882707"/>
        </c:manualLayout>
      </c:layout>
      <c:lineChart>
        <c:grouping val="standard"/>
        <c:ser>
          <c:idx val="2"/>
          <c:order val="0"/>
          <c:tx>
            <c:strRef>
              <c:f>'[1]tabla dinámica EM'!$B$59</c:f>
              <c:strCache>
                <c:ptCount val="1"/>
                <c:pt idx="0">
                  <c:v>2006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'[1]tabla dinámica EM'!$A$349:$A$360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EM'!$B$139:$B$150</c:f>
              <c:numCache>
                <c:formatCode>#,##0</c:formatCode>
                <c:ptCount val="12"/>
                <c:pt idx="0">
                  <c:v>9.59</c:v>
                </c:pt>
                <c:pt idx="1">
                  <c:v>8.7799999999999994</c:v>
                </c:pt>
                <c:pt idx="2">
                  <c:v>8.58</c:v>
                </c:pt>
                <c:pt idx="3">
                  <c:v>8.08</c:v>
                </c:pt>
                <c:pt idx="4">
                  <c:v>8.5399999999999991</c:v>
                </c:pt>
                <c:pt idx="5">
                  <c:v>7.95</c:v>
                </c:pt>
                <c:pt idx="6">
                  <c:v>9.09</c:v>
                </c:pt>
                <c:pt idx="7">
                  <c:v>9.52</c:v>
                </c:pt>
                <c:pt idx="8">
                  <c:v>8.0500000000000007</c:v>
                </c:pt>
                <c:pt idx="9">
                  <c:v>7.96</c:v>
                </c:pt>
                <c:pt idx="10">
                  <c:v>8.6999999999999993</c:v>
                </c:pt>
                <c:pt idx="11">
                  <c:v>8.1999999999999993</c:v>
                </c:pt>
              </c:numCache>
            </c:numRef>
          </c:val>
        </c:ser>
        <c:ser>
          <c:idx val="4"/>
          <c:order val="1"/>
          <c:tx>
            <c:strRef>
              <c:f>'[1]tabla dinámica EM'!$C$59</c:f>
              <c:strCache>
                <c:ptCount val="1"/>
                <c:pt idx="0">
                  <c:v>2007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Ref>
              <c:f>'[1]tabla dinámica EM'!$A$349:$A$360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EM'!$C$139:$C$150</c:f>
              <c:numCache>
                <c:formatCode>#,##0</c:formatCode>
                <c:ptCount val="12"/>
                <c:pt idx="0">
                  <c:v>9.6</c:v>
                </c:pt>
                <c:pt idx="1">
                  <c:v>8.51</c:v>
                </c:pt>
                <c:pt idx="2">
                  <c:v>8.1300000000000008</c:v>
                </c:pt>
                <c:pt idx="3">
                  <c:v>8.06</c:v>
                </c:pt>
                <c:pt idx="4">
                  <c:v>8.66</c:v>
                </c:pt>
                <c:pt idx="5">
                  <c:v>7.6</c:v>
                </c:pt>
                <c:pt idx="6">
                  <c:v>8.81</c:v>
                </c:pt>
                <c:pt idx="7">
                  <c:v>8.82</c:v>
                </c:pt>
                <c:pt idx="8">
                  <c:v>8.73</c:v>
                </c:pt>
                <c:pt idx="9">
                  <c:v>8.0500000000000007</c:v>
                </c:pt>
                <c:pt idx="10">
                  <c:v>8.35</c:v>
                </c:pt>
                <c:pt idx="11">
                  <c:v>9.09</c:v>
                </c:pt>
              </c:numCache>
            </c:numRef>
          </c:val>
        </c:ser>
        <c:ser>
          <c:idx val="5"/>
          <c:order val="2"/>
          <c:tx>
            <c:strRef>
              <c:f>'[1]tabla dinámica EM'!$D$59</c:f>
              <c:strCache>
                <c:ptCount val="1"/>
                <c:pt idx="0">
                  <c:v>2008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Ref>
              <c:f>'[1]tabla dinámica EM'!$A$349:$A$360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EM'!$D$139:$D$150</c:f>
              <c:numCache>
                <c:formatCode>#,##0</c:formatCode>
                <c:ptCount val="12"/>
                <c:pt idx="0">
                  <c:v>9.86</c:v>
                </c:pt>
                <c:pt idx="1">
                  <c:v>8.3000000000000007</c:v>
                </c:pt>
                <c:pt idx="2">
                  <c:v>8.23</c:v>
                </c:pt>
                <c:pt idx="3">
                  <c:v>8.5500000000000007</c:v>
                </c:pt>
                <c:pt idx="4">
                  <c:v>7.82</c:v>
                </c:pt>
                <c:pt idx="5">
                  <c:v>8.31</c:v>
                </c:pt>
                <c:pt idx="6">
                  <c:v>9.27</c:v>
                </c:pt>
                <c:pt idx="7">
                  <c:v>8.51</c:v>
                </c:pt>
                <c:pt idx="8">
                  <c:v>8.68</c:v>
                </c:pt>
                <c:pt idx="9">
                  <c:v>8.02</c:v>
                </c:pt>
                <c:pt idx="10">
                  <c:v>8.43</c:v>
                </c:pt>
                <c:pt idx="11">
                  <c:v>8.65</c:v>
                </c:pt>
              </c:numCache>
            </c:numRef>
          </c:val>
        </c:ser>
        <c:ser>
          <c:idx val="6"/>
          <c:order val="3"/>
          <c:tx>
            <c:strRef>
              <c:f>'[1]tabla dinámica EM'!$E$59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Ref>
              <c:f>'[1]tabla dinámica EM'!$A$349:$A$360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EM'!$E$139:$E$150</c:f>
              <c:numCache>
                <c:formatCode>#,##0</c:formatCode>
                <c:ptCount val="12"/>
                <c:pt idx="0">
                  <c:v>9.1199999999999992</c:v>
                </c:pt>
                <c:pt idx="1">
                  <c:v>8.2899999999999991</c:v>
                </c:pt>
                <c:pt idx="2">
                  <c:v>8.57</c:v>
                </c:pt>
                <c:pt idx="3">
                  <c:v>7.6993085221671436</c:v>
                </c:pt>
                <c:pt idx="4">
                  <c:v>7.28</c:v>
                </c:pt>
                <c:pt idx="5">
                  <c:v>7.9843228681819305</c:v>
                </c:pt>
                <c:pt idx="6">
                  <c:v>8.07</c:v>
                </c:pt>
                <c:pt idx="7">
                  <c:v>8.1999999999999993</c:v>
                </c:pt>
                <c:pt idx="8">
                  <c:v>8.49</c:v>
                </c:pt>
                <c:pt idx="9">
                  <c:v>7.5565637942184125</c:v>
                </c:pt>
                <c:pt idx="10">
                  <c:v>8.7139572368169773</c:v>
                </c:pt>
                <c:pt idx="11">
                  <c:v>8.4360997327235694</c:v>
                </c:pt>
              </c:numCache>
            </c:numRef>
          </c:val>
        </c:ser>
        <c:ser>
          <c:idx val="7"/>
          <c:order val="4"/>
          <c:tx>
            <c:strRef>
              <c:f>'[1]tabla dinámica EM'!$F$59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5"/>
            <c:spPr>
              <a:solidFill>
                <a:srgbClr val="4F81BD"/>
              </a:solidFill>
              <a:ln>
                <a:solidFill>
                  <a:srgbClr val="4F81BD"/>
                </a:solidFill>
              </a:ln>
            </c:spPr>
          </c:marker>
          <c:dLbls>
            <c:delete val="1"/>
          </c:dLbls>
          <c:cat>
            <c:strRef>
              <c:f>'[1]tabla dinámica EM'!$A$349:$A$360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'[1]tabla dinámica EM'!$F$139:$F$150</c:f>
              <c:numCache>
                <c:formatCode>#,##0</c:formatCode>
                <c:ptCount val="12"/>
                <c:pt idx="0">
                  <c:v>8.84</c:v>
                </c:pt>
                <c:pt idx="1">
                  <c:v>8.6199999999999992</c:v>
                </c:pt>
                <c:pt idx="2">
                  <c:v>8.1111744543180677</c:v>
                </c:pt>
                <c:pt idx="3">
                  <c:v>6.7765354923983629</c:v>
                </c:pt>
                <c:pt idx="4">
                  <c:v>7.188025867988741</c:v>
                </c:pt>
                <c:pt idx="5">
                  <c:v>7.7320728954126166</c:v>
                </c:pt>
                <c:pt idx="6">
                  <c:v>7.9961988357786877</c:v>
                </c:pt>
              </c:numCache>
            </c:numRef>
          </c:val>
        </c:ser>
        <c:dLbls>
          <c:showVal val="1"/>
        </c:dLbls>
        <c:marker val="1"/>
        <c:axId val="208809984"/>
        <c:axId val="208812288"/>
      </c:lineChart>
      <c:catAx>
        <c:axId val="2088099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287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8812288"/>
        <c:crosses val="autoZero"/>
        <c:auto val="1"/>
        <c:lblAlgn val="ctr"/>
        <c:lblOffset val="100"/>
        <c:tickLblSkip val="1"/>
        <c:tickMarkSkip val="1"/>
      </c:catAx>
      <c:valAx>
        <c:axId val="208812288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88099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8.7127599775154593E-2"/>
          <c:y val="0.15530941182687777"/>
          <c:w val="0.89999991147819092"/>
          <c:h val="5.428578977963330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888" r="0.75000000000000888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8553005769894638"/>
          <c:y val="7.8110989714802403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3.7383177570094586E-2"/>
          <c:y val="0.20975609756097927"/>
          <c:w val="0.93458086086700232"/>
          <c:h val="0.37560975609756098"/>
        </c:manualLayout>
      </c:layout>
      <c:barChart>
        <c:barDir val="col"/>
        <c:grouping val="clustered"/>
        <c:ser>
          <c:idx val="2"/>
          <c:order val="0"/>
          <c:tx>
            <c:strRef>
              <c:f>'Alojados por municipio'!$E$7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('Alojados por municipio'!$E$9:$E$11,'Alojados por municipio'!$E$13:$E$15,'Alojados por municipio'!$E$17:$E$19,'Alojados por municipio'!$E$21:$E$23,'Alojados por municipio'!$E$25:$E$27)</c:f>
              <c:numCache>
                <c:formatCode>#,##0_)</c:formatCode>
                <c:ptCount val="15"/>
                <c:pt idx="0">
                  <c:v>2766193</c:v>
                </c:pt>
                <c:pt idx="1">
                  <c:v>1677828</c:v>
                </c:pt>
                <c:pt idx="2">
                  <c:v>1088365</c:v>
                </c:pt>
                <c:pt idx="3">
                  <c:v>978683</c:v>
                </c:pt>
                <c:pt idx="4">
                  <c:v>644123</c:v>
                </c:pt>
                <c:pt idx="5">
                  <c:v>334560</c:v>
                </c:pt>
                <c:pt idx="6">
                  <c:v>818429</c:v>
                </c:pt>
                <c:pt idx="7">
                  <c:v>372354</c:v>
                </c:pt>
                <c:pt idx="8">
                  <c:v>446075</c:v>
                </c:pt>
                <c:pt idx="9">
                  <c:v>415019</c:v>
                </c:pt>
                <c:pt idx="10">
                  <c:v>284310</c:v>
                </c:pt>
                <c:pt idx="11">
                  <c:v>130709</c:v>
                </c:pt>
                <c:pt idx="12">
                  <c:v>92816</c:v>
                </c:pt>
                <c:pt idx="13">
                  <c:v>92816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10"/>
        <c:overlap val="-10"/>
        <c:axId val="209606528"/>
        <c:axId val="209616896"/>
      </c:barChart>
      <c:catAx>
        <c:axId val="2096065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385851301297903E-3"/>
              <c:y val="0.908943089430894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9616896"/>
        <c:crosses val="autoZero"/>
        <c:auto val="1"/>
        <c:lblAlgn val="ctr"/>
        <c:lblOffset val="100"/>
        <c:tickLblSkip val="1"/>
        <c:tickMarkSkip val="1"/>
      </c:catAx>
      <c:valAx>
        <c:axId val="209616896"/>
        <c:scaling>
          <c:orientation val="minMax"/>
        </c:scaling>
        <c:delete val="1"/>
        <c:axPos val="l"/>
        <c:numFmt formatCode="#,##0_)" sourceLinked="1"/>
        <c:tickLblPos val="none"/>
        <c:crossAx val="209606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1" r="0.7500000000000091" t="1" header="0" footer="0"/>
    <c:pageSetup paperSize="9"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categoría'!$B$7:$G$7</c:f>
          <c:strCache>
            <c:ptCount val="1"/>
            <c:pt idx="0">
              <c:v>TURISMO ALOJADO EN ADEJE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17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037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categoría'!$C$8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categoría'!$B$10,'Alojados tipología y categoría'!$B$12:$B$16,'Alojados tipología y categoría'!$B$18)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categoría'!$C$10,'Alojados tipología y categoría'!$C$12:$C$16,'Alojados tipología y categoría'!$C$18)</c:f>
              <c:numCache>
                <c:formatCode>#,##0_)</c:formatCode>
                <c:ptCount val="7"/>
                <c:pt idx="0">
                  <c:v>945838</c:v>
                </c:pt>
                <c:pt idx="1">
                  <c:v>605398</c:v>
                </c:pt>
                <c:pt idx="2">
                  <c:v>82765</c:v>
                </c:pt>
                <c:pt idx="3">
                  <c:v>401480</c:v>
                </c:pt>
                <c:pt idx="4">
                  <c:v>111484</c:v>
                </c:pt>
                <c:pt idx="5">
                  <c:v>9669</c:v>
                </c:pt>
                <c:pt idx="6">
                  <c:v>340440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categoría'!$E$8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categoría'!$B$10,'Alojados tipología y categoría'!$B$12:$B$16,'Alojados tipología y categoría'!$B$18)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categoría'!$E$10,'Alojados tipología y categoría'!$E$12:$E$16,'Alojados tipología y categoría'!$E$18)</c:f>
              <c:numCache>
                <c:formatCode>#,##0_)</c:formatCode>
                <c:ptCount val="7"/>
                <c:pt idx="0">
                  <c:v>978683</c:v>
                </c:pt>
                <c:pt idx="1">
                  <c:v>644123</c:v>
                </c:pt>
                <c:pt idx="2">
                  <c:v>92816</c:v>
                </c:pt>
                <c:pt idx="3">
                  <c:v>441530</c:v>
                </c:pt>
                <c:pt idx="4">
                  <c:v>99829</c:v>
                </c:pt>
                <c:pt idx="5">
                  <c:v>9948</c:v>
                </c:pt>
                <c:pt idx="6">
                  <c:v>334560</c:v>
                </c:pt>
              </c:numCache>
            </c:numRef>
          </c:val>
        </c:ser>
        <c:dLbls>
          <c:showVal val="1"/>
        </c:dLbls>
        <c:gapWidth val="30"/>
        <c:overlap val="-10"/>
        <c:axId val="210614144"/>
        <c:axId val="210616320"/>
      </c:barChart>
      <c:lineChart>
        <c:grouping val="standard"/>
        <c:ser>
          <c:idx val="1"/>
          <c:order val="2"/>
          <c:tx>
            <c:strRef>
              <c:f>'Alojados tipología y categoría'!$G$8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729597753756E-2"/>
                  <c:y val="-0.3934400065276820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72699052023E-2"/>
                  <c:y val="-0.1940891844477993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0.1301159479417404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802521777795E-2"/>
                  <c:y val="-4.202358124923519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5901936676692E-2"/>
                  <c:y val="-0.2393400514054919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8498269111724E-2"/>
                  <c:y val="5.6470972216555795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63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4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categoría'!$G$10,'Alojados tipología y categoría'!$G$12:$G$16,'Alojados tipología y categoría'!$G$18)</c:f>
              <c:numCache>
                <c:formatCode>0.0%</c:formatCode>
                <c:ptCount val="7"/>
                <c:pt idx="0">
                  <c:v>3.472581985498574E-2</c:v>
                </c:pt>
                <c:pt idx="1">
                  <c:v>6.3966184229217807E-2</c:v>
                </c:pt>
                <c:pt idx="2">
                  <c:v>0.12144022231619646</c:v>
                </c:pt>
                <c:pt idx="3">
                  <c:v>9.9755903158314244E-2</c:v>
                </c:pt>
                <c:pt idx="4">
                  <c:v>-0.10454414983315992</c:v>
                </c:pt>
                <c:pt idx="5">
                  <c:v>2.8855103940428173E-2</c:v>
                </c:pt>
                <c:pt idx="6">
                  <c:v>-1.7271765949947126E-2</c:v>
                </c:pt>
              </c:numCache>
            </c:numRef>
          </c:val>
        </c:ser>
        <c:dLbls>
          <c:showVal val="1"/>
        </c:dLbls>
        <c:marker val="1"/>
        <c:axId val="210617856"/>
        <c:axId val="210619392"/>
      </c:lineChart>
      <c:catAx>
        <c:axId val="2106141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17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0616320"/>
        <c:crosses val="autoZero"/>
        <c:auto val="1"/>
        <c:lblAlgn val="ctr"/>
        <c:lblOffset val="100"/>
        <c:tickLblSkip val="1"/>
        <c:tickMarkSkip val="1"/>
      </c:catAx>
      <c:valAx>
        <c:axId val="21061632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10614144"/>
        <c:crosses val="autoZero"/>
        <c:crossBetween val="between"/>
      </c:valAx>
      <c:catAx>
        <c:axId val="210617856"/>
        <c:scaling>
          <c:orientation val="minMax"/>
        </c:scaling>
        <c:delete val="1"/>
        <c:axPos val="b"/>
        <c:tickLblPos val="none"/>
        <c:crossAx val="210619392"/>
        <c:crosses val="autoZero"/>
        <c:auto val="1"/>
        <c:lblAlgn val="ctr"/>
        <c:lblOffset val="100"/>
      </c:catAx>
      <c:valAx>
        <c:axId val="21061939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106178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883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888" r="0.75000000000000888" t="1" header="0" footer="0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categoría'!$I$7:$N$7</c:f>
          <c:strCache>
            <c:ptCount val="1"/>
            <c:pt idx="0">
              <c:v>TURISMO ALOJADO EN ARONA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1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054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categoría'!$J$8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categoría'!$I$10,'Alojados tipología y categoría'!$I$12:$I$16,'Alojados tipología y categoría'!$I$18)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categoría'!$J$10,'Alojados tipología y categoría'!$J$12:$J$16,'Alojados tipología y categoría'!$J$18)</c:f>
              <c:numCache>
                <c:formatCode>#,##0_)</c:formatCode>
                <c:ptCount val="7"/>
                <c:pt idx="0">
                  <c:v>808683</c:v>
                </c:pt>
                <c:pt idx="1">
                  <c:v>343639</c:v>
                </c:pt>
                <c:pt idx="2">
                  <c:v>40667</c:v>
                </c:pt>
                <c:pt idx="3">
                  <c:v>191184</c:v>
                </c:pt>
                <c:pt idx="4">
                  <c:v>103848</c:v>
                </c:pt>
                <c:pt idx="5">
                  <c:v>7940</c:v>
                </c:pt>
                <c:pt idx="6">
                  <c:v>465044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categoría'!$L$8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categoría'!$I$10,'Alojados tipología y categoría'!$I$12:$I$16,'Alojados tipología y categoría'!$I$18)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categoría'!$L$10,'Alojados tipología y categoría'!$L$12:$L$16,'Alojados tipología y categoría'!$L$18)</c:f>
              <c:numCache>
                <c:formatCode>#,##0_)</c:formatCode>
                <c:ptCount val="7"/>
                <c:pt idx="0">
                  <c:v>818429</c:v>
                </c:pt>
                <c:pt idx="1">
                  <c:v>372354</c:v>
                </c:pt>
                <c:pt idx="2">
                  <c:v>43716</c:v>
                </c:pt>
                <c:pt idx="3">
                  <c:v>215077</c:v>
                </c:pt>
                <c:pt idx="4">
                  <c:v>105461</c:v>
                </c:pt>
                <c:pt idx="5">
                  <c:v>8100</c:v>
                </c:pt>
                <c:pt idx="6">
                  <c:v>446075</c:v>
                </c:pt>
              </c:numCache>
            </c:numRef>
          </c:val>
        </c:ser>
        <c:dLbls>
          <c:showVal val="1"/>
        </c:dLbls>
        <c:gapWidth val="30"/>
        <c:overlap val="-10"/>
        <c:axId val="210709120"/>
        <c:axId val="210727680"/>
      </c:barChart>
      <c:lineChart>
        <c:grouping val="standard"/>
        <c:ser>
          <c:idx val="1"/>
          <c:order val="2"/>
          <c:tx>
            <c:strRef>
              <c:f>'Alojados tipología y categoría'!$N$8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4765999312456011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9.4296986265490268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3858945883304E-2"/>
                  <c:y val="5.5271989130256854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6.0054917282739192E-2"/>
                  <c:y val="8.6874457740599528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3987054029807316E-2"/>
                  <c:y val="-0.1104418288670255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7186654631387487E-2"/>
                  <c:y val="-1.8373139947943123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00887130743E-2"/>
                  <c:y val="-0.4286673105570743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5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categoría'!$N$10,'Alojados tipología y categoría'!$N$12:$N$16,'Alojados tipología y categoría'!$N$18)</c:f>
              <c:numCache>
                <c:formatCode>0.0%</c:formatCode>
                <c:ptCount val="7"/>
                <c:pt idx="0">
                  <c:v>1.2051693927039395E-2</c:v>
                </c:pt>
                <c:pt idx="1">
                  <c:v>8.3561528231661714E-2</c:v>
                </c:pt>
                <c:pt idx="2">
                  <c:v>7.4974795288563212E-2</c:v>
                </c:pt>
                <c:pt idx="3">
                  <c:v>0.12497384718386476</c:v>
                </c:pt>
                <c:pt idx="4">
                  <c:v>1.5532316462522148E-2</c:v>
                </c:pt>
                <c:pt idx="5">
                  <c:v>2.0151133501259445E-2</c:v>
                </c:pt>
                <c:pt idx="6">
                  <c:v>-4.0789688717626719E-2</c:v>
                </c:pt>
              </c:numCache>
            </c:numRef>
          </c:val>
        </c:ser>
        <c:dLbls>
          <c:showVal val="1"/>
        </c:dLbls>
        <c:marker val="1"/>
        <c:axId val="210729216"/>
        <c:axId val="210735104"/>
      </c:lineChart>
      <c:catAx>
        <c:axId val="2107091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0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0727680"/>
        <c:crosses val="autoZero"/>
        <c:auto val="1"/>
        <c:lblAlgn val="ctr"/>
        <c:lblOffset val="100"/>
        <c:tickLblSkip val="1"/>
        <c:tickMarkSkip val="1"/>
      </c:catAx>
      <c:valAx>
        <c:axId val="21072768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10709120"/>
        <c:crosses val="autoZero"/>
        <c:crossBetween val="between"/>
      </c:valAx>
      <c:catAx>
        <c:axId val="210729216"/>
        <c:scaling>
          <c:orientation val="minMax"/>
        </c:scaling>
        <c:delete val="1"/>
        <c:axPos val="b"/>
        <c:tickLblPos val="none"/>
        <c:crossAx val="210735104"/>
        <c:crosses val="autoZero"/>
        <c:auto val="1"/>
        <c:lblAlgn val="ctr"/>
        <c:lblOffset val="100"/>
      </c:catAx>
      <c:valAx>
        <c:axId val="21073510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107292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02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1" r="0.7500000000000091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categoría'!$B$21:$G$21</c:f>
          <c:strCache>
            <c:ptCount val="1"/>
            <c:pt idx="0">
              <c:v>TURISMO ALOJADO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1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054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categoría'!$C$22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categoría'!$B$24,'Alojados tipología y categoría'!$B$26,'Alojados tipología y categoría'!$B$27,'Alojados tipología y categoría'!$B$28,'Alojados tipología y categoría'!$B$29,'Alojados tipología y categoría'!$B$31)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categoría'!$C$24,'Alojados tipología y categoría'!$C$26:$C$29,'Alojados tipología y categoría'!$C$31)</c:f>
              <c:numCache>
                <c:formatCode>#,##0_)</c:formatCode>
                <c:ptCount val="6"/>
                <c:pt idx="0">
                  <c:v>443574</c:v>
                </c:pt>
                <c:pt idx="1">
                  <c:v>292166</c:v>
                </c:pt>
                <c:pt idx="2">
                  <c:v>235840</c:v>
                </c:pt>
                <c:pt idx="3">
                  <c:v>50916</c:v>
                </c:pt>
                <c:pt idx="4">
                  <c:v>5410</c:v>
                </c:pt>
                <c:pt idx="5">
                  <c:v>151408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categoría'!$E$22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categoría'!$B$24,'Alojados tipología y categoría'!$B$26,'Alojados tipología y categoría'!$B$27,'Alojados tipología y categoría'!$B$28,'Alojados tipología y categoría'!$B$29,'Alojados tipología y categoría'!$B$31)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categoría'!$E$24,'Alojados tipología y categoría'!$E$26:$E$29,'Alojados tipología y categoría'!$E$31)</c:f>
              <c:numCache>
                <c:formatCode>#,##0_)</c:formatCode>
                <c:ptCount val="6"/>
                <c:pt idx="0">
                  <c:v>415019</c:v>
                </c:pt>
                <c:pt idx="1">
                  <c:v>284310</c:v>
                </c:pt>
                <c:pt idx="2">
                  <c:v>235506</c:v>
                </c:pt>
                <c:pt idx="3">
                  <c:v>43093</c:v>
                </c:pt>
                <c:pt idx="4">
                  <c:v>5711</c:v>
                </c:pt>
                <c:pt idx="5">
                  <c:v>130709</c:v>
                </c:pt>
              </c:numCache>
            </c:numRef>
          </c:val>
        </c:ser>
        <c:dLbls>
          <c:showVal val="1"/>
        </c:dLbls>
        <c:gapWidth val="30"/>
        <c:overlap val="-10"/>
        <c:axId val="210811136"/>
        <c:axId val="210829696"/>
      </c:barChart>
      <c:lineChart>
        <c:grouping val="standard"/>
        <c:ser>
          <c:idx val="1"/>
          <c:order val="2"/>
          <c:tx>
            <c:strRef>
              <c:f>'Alojados tipología y categoría'!$G$22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60436889061E-2"/>
                  <c:y val="-0.4391778938235634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00545995032E-2"/>
                  <c:y val="-0.252301144269648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807913783475558E-2"/>
                  <c:y val="-0.148470214611946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7865535405580412E-2"/>
                  <c:y val="-0.208343837477696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800177777042662E-2"/>
                  <c:y val="0.1723024538772572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997272754228783E-2"/>
                  <c:y val="-0.2928014143762178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5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('Alojados tipología y categoría'!$B$24,'Alojados tipología y categoría'!$B$26:$B$29,'Alojados tipología y categoría'!$B$31)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categoría'!$G$24,'Alojados tipología y categoría'!$G$26:$G$29,'Alojados tipología y categoría'!$G$31)</c:f>
              <c:numCache>
                <c:formatCode>0.0%</c:formatCode>
                <c:ptCount val="6"/>
                <c:pt idx="0">
                  <c:v>-6.4374828100835488E-2</c:v>
                </c:pt>
                <c:pt idx="1">
                  <c:v>-2.6888823477064408E-2</c:v>
                </c:pt>
                <c:pt idx="2">
                  <c:v>-1.4162143826322931E-3</c:v>
                </c:pt>
                <c:pt idx="3">
                  <c:v>-0.15364521957734306</c:v>
                </c:pt>
                <c:pt idx="4">
                  <c:v>5.5637707948243992E-2</c:v>
                </c:pt>
                <c:pt idx="5">
                  <c:v>-0.13671008136954454</c:v>
                </c:pt>
              </c:numCache>
            </c:numRef>
          </c:val>
        </c:ser>
        <c:dLbls>
          <c:showVal val="1"/>
        </c:dLbls>
        <c:marker val="1"/>
        <c:axId val="210831232"/>
        <c:axId val="210832768"/>
      </c:lineChart>
      <c:catAx>
        <c:axId val="2108111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0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0829696"/>
        <c:crosses val="autoZero"/>
        <c:auto val="1"/>
        <c:lblAlgn val="ctr"/>
        <c:lblOffset val="100"/>
        <c:tickLblSkip val="1"/>
        <c:tickMarkSkip val="1"/>
      </c:catAx>
      <c:valAx>
        <c:axId val="21082969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10811136"/>
        <c:crosses val="autoZero"/>
        <c:crossBetween val="between"/>
      </c:valAx>
      <c:catAx>
        <c:axId val="210831232"/>
        <c:scaling>
          <c:orientation val="minMax"/>
        </c:scaling>
        <c:delete val="1"/>
        <c:axPos val="b"/>
        <c:tickLblPos val="none"/>
        <c:crossAx val="210832768"/>
        <c:crosses val="autoZero"/>
        <c:auto val="1"/>
        <c:lblAlgn val="ctr"/>
        <c:lblOffset val="100"/>
      </c:catAx>
      <c:valAx>
        <c:axId val="21083276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108312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02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1" r="0.7500000000000091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'!$C$21:$J$21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936683997689197"/>
          <c:y val="0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094"/>
          <c:y val="0.25962782429974718"/>
          <c:w val="0.83325053642039215"/>
          <c:h val="0.47650548004266752"/>
        </c:manualLayout>
      </c:layout>
      <c:lineChart>
        <c:grouping val="standard"/>
        <c:ser>
          <c:idx val="0"/>
          <c:order val="0"/>
          <c:tx>
            <c:strRef>
              <c:f>'tablas Zonas mensual '!$D$22</c:f>
              <c:strCache>
                <c:ptCount val="1"/>
                <c:pt idx="0">
                  <c:v>2007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'tablas Zonas mensual '!$C$23:$C$34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'!$D$23:$D$34</c:f>
              <c:numCache>
                <c:formatCode>#,##0</c:formatCode>
                <c:ptCount val="12"/>
                <c:pt idx="0">
                  <c:v>312483</c:v>
                </c:pt>
                <c:pt idx="1">
                  <c:v>326346</c:v>
                </c:pt>
                <c:pt idx="2">
                  <c:v>373327</c:v>
                </c:pt>
                <c:pt idx="3">
                  <c:v>326903</c:v>
                </c:pt>
                <c:pt idx="4">
                  <c:v>252407</c:v>
                </c:pt>
                <c:pt idx="5">
                  <c:v>303628</c:v>
                </c:pt>
                <c:pt idx="6">
                  <c:v>338528</c:v>
                </c:pt>
                <c:pt idx="7">
                  <c:v>388074</c:v>
                </c:pt>
                <c:pt idx="8">
                  <c:v>301595</c:v>
                </c:pt>
                <c:pt idx="9">
                  <c:v>357908</c:v>
                </c:pt>
                <c:pt idx="10">
                  <c:v>350364</c:v>
                </c:pt>
                <c:pt idx="11">
                  <c:v>328380</c:v>
                </c:pt>
              </c:numCache>
            </c:numRef>
          </c:val>
        </c:ser>
        <c:ser>
          <c:idx val="1"/>
          <c:order val="1"/>
          <c:tx>
            <c:strRef>
              <c:f>'tablas Zonas mensual '!$E$22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'!$C$23:$C$34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'!$E$23:$E$34</c:f>
              <c:numCache>
                <c:formatCode>#,##0</c:formatCode>
                <c:ptCount val="12"/>
                <c:pt idx="0">
                  <c:v>314867</c:v>
                </c:pt>
                <c:pt idx="1">
                  <c:v>358356</c:v>
                </c:pt>
                <c:pt idx="2">
                  <c:v>387247</c:v>
                </c:pt>
                <c:pt idx="3">
                  <c:v>317058</c:v>
                </c:pt>
                <c:pt idx="4">
                  <c:v>308072</c:v>
                </c:pt>
                <c:pt idx="5">
                  <c:v>303175</c:v>
                </c:pt>
                <c:pt idx="6">
                  <c:v>350643</c:v>
                </c:pt>
                <c:pt idx="7">
                  <c:v>397222</c:v>
                </c:pt>
                <c:pt idx="8">
                  <c:v>293148</c:v>
                </c:pt>
                <c:pt idx="9">
                  <c:v>343893</c:v>
                </c:pt>
                <c:pt idx="10">
                  <c:v>331700</c:v>
                </c:pt>
                <c:pt idx="11">
                  <c:v>311635</c:v>
                </c:pt>
              </c:numCache>
            </c:numRef>
          </c:val>
        </c:ser>
        <c:ser>
          <c:idx val="2"/>
          <c:order val="2"/>
          <c:tx>
            <c:strRef>
              <c:f>'tablas Zonas mensual '!$F$22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'!$C$23:$C$34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'!$F$23:$F$34</c:f>
              <c:numCache>
                <c:formatCode>#,##0</c:formatCode>
                <c:ptCount val="12"/>
                <c:pt idx="0">
                  <c:v>299462</c:v>
                </c:pt>
                <c:pt idx="1">
                  <c:v>300505</c:v>
                </c:pt>
                <c:pt idx="2">
                  <c:v>317148</c:v>
                </c:pt>
                <c:pt idx="3">
                  <c:v>323645</c:v>
                </c:pt>
                <c:pt idx="4">
                  <c:v>270689</c:v>
                </c:pt>
                <c:pt idx="5">
                  <c:v>266838</c:v>
                </c:pt>
                <c:pt idx="6">
                  <c:v>339918</c:v>
                </c:pt>
                <c:pt idx="7">
                  <c:v>362794</c:v>
                </c:pt>
                <c:pt idx="8">
                  <c:v>278508</c:v>
                </c:pt>
                <c:pt idx="9">
                  <c:v>323899</c:v>
                </c:pt>
                <c:pt idx="10">
                  <c:v>287253</c:v>
                </c:pt>
                <c:pt idx="11">
                  <c:v>293565</c:v>
                </c:pt>
              </c:numCache>
            </c:numRef>
          </c:val>
        </c:ser>
        <c:ser>
          <c:idx val="3"/>
          <c:order val="3"/>
          <c:tx>
            <c:strRef>
              <c:f>'tablas Zonas mensual '!$G$22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F81BD"/>
                </a:solidFill>
              </a:ln>
            </c:spPr>
          </c:marker>
          <c:cat>
            <c:strRef>
              <c:f>'tablas Zonas mensual '!$C$23:$C$34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'!$G$23:$G$28,'tablas Zonas mensual '!$G$29)</c:f>
              <c:numCache>
                <c:formatCode>#,##0</c:formatCode>
                <c:ptCount val="7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</c:numCache>
            </c:numRef>
          </c:val>
        </c:ser>
        <c:marker val="1"/>
        <c:axId val="196700800"/>
        <c:axId val="196727552"/>
      </c:lineChart>
      <c:catAx>
        <c:axId val="19670080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96727552"/>
        <c:crosses val="autoZero"/>
        <c:auto val="1"/>
        <c:lblAlgn val="ctr"/>
        <c:lblOffset val="100"/>
      </c:catAx>
      <c:valAx>
        <c:axId val="19672755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96700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763"/>
          <c:y val="0.16367086189697985"/>
          <c:w val="0.47740773522508845"/>
          <c:h val="6.3562948740286035E-2"/>
        </c:manualLayout>
      </c:layout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1" l="0.70000000000000062" r="0.70000000000000062" t="0.7500000000000121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categoría'!$I$21:$N$21</c:f>
          <c:strCache>
            <c:ptCount val="1"/>
            <c:pt idx="0">
              <c:v>TURISMO ALOJADO EN SANTA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1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002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categoría'!$J$22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categoría'!$I$24,'Alojados tipología y categoría'!$I$26,'Alojados tipología y categoría'!$I$27,'Alojados tipología y categoría'!$I$28,'Alojados tipología y categoría'!$I$29,'Alojados tipología y categoría'!$I$30,'Alojados tipología y categoría'!$I$32)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categoría'!$J$24,'Alojados tipología y categoría'!$J$26:$J$30,'Alojados tipología y categoría'!$J$32)</c:f>
              <c:numCache>
                <c:formatCode>#,##0_)</c:formatCode>
                <c:ptCount val="7"/>
                <c:pt idx="0">
                  <c:v>95588</c:v>
                </c:pt>
                <c:pt idx="1">
                  <c:v>95588</c:v>
                </c:pt>
                <c:pt idx="2">
                  <c:v>32115</c:v>
                </c:pt>
                <c:pt idx="3">
                  <c:v>26495</c:v>
                </c:pt>
                <c:pt idx="4">
                  <c:v>30073</c:v>
                </c:pt>
                <c:pt idx="5">
                  <c:v>6905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categoría'!$L$22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categoría'!$I$24,'Alojados tipología y categoría'!$I$26,'Alojados tipología y categoría'!$I$27,'Alojados tipología y categoría'!$I$28,'Alojados tipología y categoría'!$I$29,'Alojados tipología y categoría'!$I$30,'Alojados tipología y categoría'!$I$32)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categoría'!$L$24,'Alojados tipología y categoría'!$L$26:$L$30,'Alojados tipología y categoría'!$L$32)</c:f>
              <c:numCache>
                <c:formatCode>#,##0_)</c:formatCode>
                <c:ptCount val="7"/>
                <c:pt idx="0">
                  <c:v>92816</c:v>
                </c:pt>
                <c:pt idx="1">
                  <c:v>92816</c:v>
                </c:pt>
                <c:pt idx="2">
                  <c:v>30405</c:v>
                </c:pt>
                <c:pt idx="3">
                  <c:v>27640</c:v>
                </c:pt>
                <c:pt idx="4">
                  <c:v>29823</c:v>
                </c:pt>
                <c:pt idx="5">
                  <c:v>4948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210909056"/>
        <c:axId val="210919424"/>
      </c:barChart>
      <c:lineChart>
        <c:grouping val="standard"/>
        <c:ser>
          <c:idx val="1"/>
          <c:order val="2"/>
          <c:tx>
            <c:strRef>
              <c:f>'Alojados tipología y categoría'!$N$22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3061217607674308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0.2938815132515925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-8.1942148083880367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93E-2"/>
                  <c:y val="4.113641200255373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619E-2"/>
                  <c:y val="-3.9755758180955031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9376036508546406E-2"/>
                  <c:y val="-0.2054833270581302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742432923535288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6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categoría'!$N$24,'Alojados tipología y categoría'!$N$26:$N$30,'Alojados tipología y categoría'!$N$32)</c:f>
              <c:numCache>
                <c:formatCode>0.0%</c:formatCode>
                <c:ptCount val="7"/>
                <c:pt idx="0">
                  <c:v>-2.8999455998660918E-2</c:v>
                </c:pt>
                <c:pt idx="1">
                  <c:v>-2.8999455998660918E-2</c:v>
                </c:pt>
                <c:pt idx="2">
                  <c:v>-5.3246146660439045E-2</c:v>
                </c:pt>
                <c:pt idx="3">
                  <c:v>4.3215701075674656E-2</c:v>
                </c:pt>
                <c:pt idx="4">
                  <c:v>-8.3131047783726267E-3</c:v>
                </c:pt>
                <c:pt idx="5">
                  <c:v>-0.28341781317885589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210920960"/>
        <c:axId val="210922496"/>
      </c:lineChart>
      <c:catAx>
        <c:axId val="2109090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2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0919424"/>
        <c:crosses val="autoZero"/>
        <c:auto val="1"/>
        <c:lblAlgn val="ctr"/>
        <c:lblOffset val="100"/>
        <c:tickLblSkip val="1"/>
        <c:tickMarkSkip val="1"/>
      </c:catAx>
      <c:valAx>
        <c:axId val="21091942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10909056"/>
        <c:crosses val="autoZero"/>
        <c:crossBetween val="between"/>
      </c:valAx>
      <c:catAx>
        <c:axId val="210920960"/>
        <c:scaling>
          <c:orientation val="minMax"/>
        </c:scaling>
        <c:delete val="1"/>
        <c:axPos val="b"/>
        <c:tickLblPos val="none"/>
        <c:crossAx val="210922496"/>
        <c:crosses val="autoZero"/>
        <c:auto val="1"/>
        <c:lblAlgn val="ctr"/>
        <c:lblOffset val="100"/>
      </c:catAx>
      <c:valAx>
        <c:axId val="21092249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109209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666387850888"/>
          <c:y val="0.1381269337174849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33" r="0.75000000000000933" t="1" header="0" footer="0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8553005769894638"/>
          <c:y val="7.8110989714802403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3.7383177570094558E-2"/>
          <c:y val="0.20975609756097918"/>
          <c:w val="0.93458086086700265"/>
          <c:h val="0.37560975609756098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munic y tipologí'!$E$7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prstClr val="white">
                      <a:lumMod val="50000"/>
                    </a:prstClr>
                  </a:gs>
                  <a:gs pos="50000">
                    <a:prstClr val="white">
                      <a:lumMod val="95000"/>
                    </a:prstClr>
                  </a:gs>
                  <a:gs pos="100000">
                    <a:schemeClr val="bg1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prstClr val="white">
                      <a:lumMod val="50000"/>
                    </a:prstClr>
                  </a:gs>
                  <a:gs pos="50000">
                    <a:prstClr val="white">
                      <a:lumMod val="95000"/>
                    </a:prstClr>
                  </a:gs>
                  <a:gs pos="100000">
                    <a:prstClr val="white">
                      <a:lumMod val="50000"/>
                    </a:prst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prstClr val="white">
                      <a:lumMod val="50000"/>
                    </a:prstClr>
                  </a:gs>
                  <a:gs pos="50000">
                    <a:prstClr val="white">
                      <a:lumMod val="95000"/>
                    </a:prstClr>
                  </a:gs>
                  <a:gs pos="100000">
                    <a:prstClr val="white">
                      <a:lumMod val="50000"/>
                    </a:prst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('Pernoctaciones munic y tipologí'!$E$9:$E$11,'Pernoctaciones munic y tipologí'!$E$13:$E$15,'Pernoctaciones munic y tipologí'!$E$17:$E$19,'Pernoctaciones munic y tipologí'!$E$21:$E$23,'Pernoctaciones munic y tipologí'!$E$25:$E$27)</c:f>
              <c:numCache>
                <c:formatCode>#,##0_)</c:formatCode>
                <c:ptCount val="15"/>
                <c:pt idx="0">
                  <c:v>20533466</c:v>
                </c:pt>
                <c:pt idx="1">
                  <c:v>11697161</c:v>
                </c:pt>
                <c:pt idx="2">
                  <c:v>8836305</c:v>
                </c:pt>
                <c:pt idx="3">
                  <c:v>7698603</c:v>
                </c:pt>
                <c:pt idx="4">
                  <c:v>4862858</c:v>
                </c:pt>
                <c:pt idx="5">
                  <c:v>2835745</c:v>
                </c:pt>
                <c:pt idx="6">
                  <c:v>6476287</c:v>
                </c:pt>
                <c:pt idx="7">
                  <c:v>2876302</c:v>
                </c:pt>
                <c:pt idx="8">
                  <c:v>3599985</c:v>
                </c:pt>
                <c:pt idx="9">
                  <c:v>3090514</c:v>
                </c:pt>
                <c:pt idx="10">
                  <c:v>2079572</c:v>
                </c:pt>
                <c:pt idx="11">
                  <c:v>1010942</c:v>
                </c:pt>
                <c:pt idx="12">
                  <c:v>193668</c:v>
                </c:pt>
                <c:pt idx="13">
                  <c:v>16971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10"/>
        <c:overlap val="-10"/>
        <c:axId val="210232832"/>
        <c:axId val="210234752"/>
      </c:barChart>
      <c:catAx>
        <c:axId val="2102328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385851301297894E-3"/>
              <c:y val="0.908943089430894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0234752"/>
        <c:crosses val="autoZero"/>
        <c:auto val="1"/>
        <c:lblAlgn val="ctr"/>
        <c:lblOffset val="100"/>
        <c:tickLblSkip val="1"/>
        <c:tickMarkSkip val="1"/>
      </c:catAx>
      <c:valAx>
        <c:axId val="210234752"/>
        <c:scaling>
          <c:orientation val="minMax"/>
        </c:scaling>
        <c:delete val="1"/>
        <c:axPos val="l"/>
        <c:numFmt formatCode="#,##0_)" sourceLinked="1"/>
        <c:tickLblPos val="none"/>
        <c:crossAx val="210232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888" r="0.75000000000000888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catego'!$B$7:$G$7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1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054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catego'!$C$8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catego'!$B$10,'pernocta municipio y catego'!$B$12:$B$16,'pernocta municipio y catego'!$B$18)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catego'!$C$10,'pernocta municipio y catego'!$C$12:$C$16,'pernocta municipio y catego'!$C$18)</c:f>
              <c:numCache>
                <c:formatCode>#,##0_)</c:formatCode>
                <c:ptCount val="7"/>
                <c:pt idx="0">
                  <c:v>7711663</c:v>
                </c:pt>
                <c:pt idx="1">
                  <c:v>4759902</c:v>
                </c:pt>
                <c:pt idx="2">
                  <c:v>582693</c:v>
                </c:pt>
                <c:pt idx="3">
                  <c:v>3153691</c:v>
                </c:pt>
                <c:pt idx="4">
                  <c:v>954574</c:v>
                </c:pt>
                <c:pt idx="5">
                  <c:v>68944</c:v>
                </c:pt>
                <c:pt idx="6">
                  <c:v>2951761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catego'!$E$8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catego'!$B$10,'pernocta municipio y catego'!$B$12:$B$16,'pernocta municipio y catego'!$B$18)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catego'!$E$10,'pernocta municipio y catego'!$E$12:$E$16,'pernocta municipio y catego'!$E$18)</c:f>
              <c:numCache>
                <c:formatCode>#,##0_)</c:formatCode>
                <c:ptCount val="7"/>
                <c:pt idx="0">
                  <c:v>7698603</c:v>
                </c:pt>
                <c:pt idx="1">
                  <c:v>4862858</c:v>
                </c:pt>
                <c:pt idx="2">
                  <c:v>632980</c:v>
                </c:pt>
                <c:pt idx="3">
                  <c:v>3356200</c:v>
                </c:pt>
                <c:pt idx="4">
                  <c:v>803958</c:v>
                </c:pt>
                <c:pt idx="5">
                  <c:v>69720</c:v>
                </c:pt>
                <c:pt idx="6">
                  <c:v>2835745</c:v>
                </c:pt>
              </c:numCache>
            </c:numRef>
          </c:val>
        </c:ser>
        <c:dLbls>
          <c:showVal val="1"/>
        </c:dLbls>
        <c:gapWidth val="30"/>
        <c:overlap val="-10"/>
        <c:axId val="212014592"/>
        <c:axId val="212016512"/>
      </c:barChart>
      <c:lineChart>
        <c:grouping val="standard"/>
        <c:ser>
          <c:idx val="1"/>
          <c:order val="2"/>
          <c:tx>
            <c:strRef>
              <c:f>'pernocta municipio y catego'!$G$8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4183878730335434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439456178304E-2"/>
                  <c:y val="-0.2315111234796274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0.1176420515003193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918626019786601E-2"/>
                  <c:y val="-7.528770442156268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5901936676727E-2"/>
                  <c:y val="-0.2393400514054920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050363368434702E-2"/>
                  <c:y val="8.1418959844156633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5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catego'!$G$10,'pernocta municipio y catego'!$G$12:$G$16,'pernocta municipio y catego'!$G$18)</c:f>
              <c:numCache>
                <c:formatCode>0.0%</c:formatCode>
                <c:ptCount val="7"/>
                <c:pt idx="0">
                  <c:v>-1.6935387347709566E-3</c:v>
                </c:pt>
                <c:pt idx="1">
                  <c:v>2.1629857085292931E-2</c:v>
                </c:pt>
                <c:pt idx="2">
                  <c:v>8.630101957634638E-2</c:v>
                </c:pt>
                <c:pt idx="3">
                  <c:v>6.4213329714293499E-2</c:v>
                </c:pt>
                <c:pt idx="4">
                  <c:v>-0.15778347199902784</c:v>
                </c:pt>
                <c:pt idx="5">
                  <c:v>1.1255511719656533E-2</c:v>
                </c:pt>
                <c:pt idx="6">
                  <c:v>-3.9303995140527979E-2</c:v>
                </c:pt>
              </c:numCache>
            </c:numRef>
          </c:val>
        </c:ser>
        <c:dLbls>
          <c:showVal val="1"/>
        </c:dLbls>
        <c:marker val="1"/>
        <c:axId val="212034688"/>
        <c:axId val="212036224"/>
      </c:lineChart>
      <c:catAx>
        <c:axId val="2120145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0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2016512"/>
        <c:crosses val="autoZero"/>
        <c:auto val="1"/>
        <c:lblAlgn val="ctr"/>
        <c:lblOffset val="100"/>
        <c:tickLblSkip val="1"/>
        <c:tickMarkSkip val="1"/>
      </c:catAx>
      <c:valAx>
        <c:axId val="21201651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12014592"/>
        <c:crosses val="autoZero"/>
        <c:crossBetween val="between"/>
      </c:valAx>
      <c:catAx>
        <c:axId val="212034688"/>
        <c:scaling>
          <c:orientation val="minMax"/>
        </c:scaling>
        <c:delete val="1"/>
        <c:axPos val="b"/>
        <c:tickLblPos val="none"/>
        <c:crossAx val="212036224"/>
        <c:crosses val="autoZero"/>
        <c:auto val="1"/>
        <c:lblAlgn val="ctr"/>
        <c:lblOffset val="100"/>
      </c:catAx>
      <c:valAx>
        <c:axId val="21203622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120346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02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1" r="0.7500000000000091" t="1" header="0" footer="0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catego'!$I$7:$N$7</c:f>
          <c:strCache>
            <c:ptCount val="1"/>
            <c:pt idx="0">
              <c:v>PERNOCTACIONES EN ARONA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1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076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catego'!$J$8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catego'!$I$10,'pernocta municipio y catego'!$I$12:$I$16,'pernocta municipio y catego'!$I$18)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catego'!$J$10,'pernocta municipio y catego'!$J$12:$J$16,'pernocta municipio y catego'!$J$18)</c:f>
              <c:numCache>
                <c:formatCode>#,##0_)</c:formatCode>
                <c:ptCount val="7"/>
                <c:pt idx="0">
                  <c:v>6591865</c:v>
                </c:pt>
                <c:pt idx="1">
                  <c:v>2787146</c:v>
                </c:pt>
                <c:pt idx="2">
                  <c:v>319628</c:v>
                </c:pt>
                <c:pt idx="3">
                  <c:v>1592558</c:v>
                </c:pt>
                <c:pt idx="4">
                  <c:v>815635</c:v>
                </c:pt>
                <c:pt idx="5">
                  <c:v>59325</c:v>
                </c:pt>
                <c:pt idx="6">
                  <c:v>3804719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catego'!$L$8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catego'!$I$10,'pernocta municipio y catego'!$I$12:$I$16,'pernocta municipio y catego'!$I$18)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catego'!$L$10,'pernocta municipio y catego'!$L$12:$L$16,'pernocta municipio y catego'!$L$18)</c:f>
              <c:numCache>
                <c:formatCode>#,##0_)</c:formatCode>
                <c:ptCount val="7"/>
                <c:pt idx="0">
                  <c:v>6476287</c:v>
                </c:pt>
                <c:pt idx="1">
                  <c:v>2876302</c:v>
                </c:pt>
                <c:pt idx="2">
                  <c:v>343310</c:v>
                </c:pt>
                <c:pt idx="3">
                  <c:v>1675752</c:v>
                </c:pt>
                <c:pt idx="4">
                  <c:v>804119</c:v>
                </c:pt>
                <c:pt idx="5">
                  <c:v>53121</c:v>
                </c:pt>
                <c:pt idx="6">
                  <c:v>3599985</c:v>
                </c:pt>
              </c:numCache>
            </c:numRef>
          </c:val>
        </c:ser>
        <c:dLbls>
          <c:showVal val="1"/>
        </c:dLbls>
        <c:gapWidth val="30"/>
        <c:overlap val="-10"/>
        <c:axId val="212101376"/>
        <c:axId val="212111744"/>
      </c:barChart>
      <c:lineChart>
        <c:grouping val="standard"/>
        <c:ser>
          <c:idx val="1"/>
          <c:order val="2"/>
          <c:tx>
            <c:strRef>
              <c:f>'pernocta municipio y catego'!$N$8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5264959811416493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452645677568E-2"/>
                  <c:y val="-0.1608250527935566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0.130116063974331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3729571448E-2"/>
                  <c:y val="-2.9549658683516968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08290275489693E-2"/>
                  <c:y val="-9.3809812235009268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7186734384034051E-2"/>
                  <c:y val="-0.1930096419860198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3777489383E-2"/>
                  <c:y val="-0.4078772897670540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6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catego'!$N$10,'pernocta municipio y catego'!$N$12:$N$16,'pernocta municipio y catego'!$N$18)</c:f>
              <c:numCache>
                <c:formatCode>0.0%</c:formatCode>
                <c:ptCount val="7"/>
                <c:pt idx="0">
                  <c:v>-1.7533429461920109E-2</c:v>
                </c:pt>
                <c:pt idx="1">
                  <c:v>3.1988277614448613E-2</c:v>
                </c:pt>
                <c:pt idx="2">
                  <c:v>7.409238239453364E-2</c:v>
                </c:pt>
                <c:pt idx="3">
                  <c:v>5.2239227707876257E-2</c:v>
                </c:pt>
                <c:pt idx="4">
                  <c:v>-1.4119060609218585E-2</c:v>
                </c:pt>
                <c:pt idx="5">
                  <c:v>-0.10457648546144122</c:v>
                </c:pt>
                <c:pt idx="6">
                  <c:v>-5.3810544221531212E-2</c:v>
                </c:pt>
              </c:numCache>
            </c:numRef>
          </c:val>
        </c:ser>
        <c:dLbls>
          <c:showVal val="1"/>
        </c:dLbls>
        <c:marker val="1"/>
        <c:axId val="212113280"/>
        <c:axId val="212114816"/>
      </c:lineChart>
      <c:catAx>
        <c:axId val="2121013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2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2111744"/>
        <c:crosses val="autoZero"/>
        <c:auto val="1"/>
        <c:lblAlgn val="ctr"/>
        <c:lblOffset val="100"/>
        <c:tickLblSkip val="1"/>
        <c:tickMarkSkip val="1"/>
      </c:catAx>
      <c:valAx>
        <c:axId val="21211174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12101376"/>
        <c:crosses val="autoZero"/>
        <c:crossBetween val="between"/>
      </c:valAx>
      <c:catAx>
        <c:axId val="212113280"/>
        <c:scaling>
          <c:orientation val="minMax"/>
        </c:scaling>
        <c:delete val="1"/>
        <c:axPos val="b"/>
        <c:tickLblPos val="none"/>
        <c:crossAx val="212114816"/>
        <c:crosses val="autoZero"/>
        <c:auto val="1"/>
        <c:lblAlgn val="ctr"/>
        <c:lblOffset val="100"/>
      </c:catAx>
      <c:valAx>
        <c:axId val="21211481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12113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25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33" r="0.75000000000000933" t="1" header="0" footer="0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catego'!$B$21:$G$21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1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076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catego'!$C$22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catego'!$B$24,'pernocta municipio y catego'!$B$26,'pernocta municipio y catego'!$B$27,'pernocta municipio y catego'!$B$28,'pernocta municipio y catego'!$B$29,'pernocta municipio y catego'!$B$31)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catego'!$C$24,'pernocta municipio y catego'!$C$26:$C$29,'pernocta municipio y catego'!$C$31)</c:f>
              <c:numCache>
                <c:formatCode>#,##0_)</c:formatCode>
                <c:ptCount val="6"/>
                <c:pt idx="0">
                  <c:v>3360494</c:v>
                </c:pt>
                <c:pt idx="1">
                  <c:v>2131326</c:v>
                </c:pt>
                <c:pt idx="2">
                  <c:v>1754608</c:v>
                </c:pt>
                <c:pt idx="3">
                  <c:v>355367</c:v>
                </c:pt>
                <c:pt idx="4">
                  <c:v>21351</c:v>
                </c:pt>
                <c:pt idx="5">
                  <c:v>1229168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catego'!$E$22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catego'!$B$24,'pernocta municipio y catego'!$B$26,'pernocta municipio y catego'!$B$27,'pernocta municipio y catego'!$B$28,'pernocta municipio y catego'!$B$29,'pernocta municipio y catego'!$B$31)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catego'!$E$24,'pernocta municipio y catego'!$E$26:$E$29,'pernocta municipio y catego'!$E$31)</c:f>
              <c:numCache>
                <c:formatCode>#,##0_)</c:formatCode>
                <c:ptCount val="6"/>
                <c:pt idx="0">
                  <c:v>3090514</c:v>
                </c:pt>
                <c:pt idx="1">
                  <c:v>2079572</c:v>
                </c:pt>
                <c:pt idx="2">
                  <c:v>1737011</c:v>
                </c:pt>
                <c:pt idx="3">
                  <c:v>320280</c:v>
                </c:pt>
                <c:pt idx="4">
                  <c:v>22281</c:v>
                </c:pt>
                <c:pt idx="5">
                  <c:v>1010942</c:v>
                </c:pt>
              </c:numCache>
            </c:numRef>
          </c:val>
        </c:ser>
        <c:dLbls>
          <c:showVal val="1"/>
        </c:dLbls>
        <c:gapWidth val="30"/>
        <c:overlap val="-10"/>
        <c:axId val="212248448"/>
        <c:axId val="212258816"/>
      </c:barChart>
      <c:lineChart>
        <c:grouping val="standard"/>
        <c:ser>
          <c:idx val="1"/>
          <c:order val="2"/>
          <c:tx>
            <c:strRef>
              <c:f>'pernocta municipio y catego'!$G$22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82572421107E-2"/>
                  <c:y val="-0.4682839229295923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40453109767E-2"/>
                  <c:y val="-0.2439851359536399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2327303463030161E-2"/>
                  <c:y val="-0.1900502561919884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568453789193065E-2"/>
                  <c:y val="-0.1210260775615107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6038120427550545E-2"/>
                  <c:y val="0.1515124330872365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7185523042354802E-2"/>
                  <c:y val="-0.3759614975363008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6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('pernocta municipio y catego'!$B$24,'pernocta municipio y catego'!$B$26:$B$29,'pernocta municipio y catego'!$B$31)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catego'!$G$24,'pernocta municipio y catego'!$G$26:$G$29,'pernocta municipio y catego'!$G$31)</c:f>
              <c:numCache>
                <c:formatCode>0.0%</c:formatCode>
                <c:ptCount val="6"/>
                <c:pt idx="0">
                  <c:v>-8.0339378674682951E-2</c:v>
                </c:pt>
                <c:pt idx="1">
                  <c:v>-2.428253584857502E-2</c:v>
                </c:pt>
                <c:pt idx="2">
                  <c:v>-1.0029020727136774E-2</c:v>
                </c:pt>
                <c:pt idx="3">
                  <c:v>-9.8734547664808492E-2</c:v>
                </c:pt>
                <c:pt idx="4">
                  <c:v>4.3557678797246029E-2</c:v>
                </c:pt>
                <c:pt idx="5">
                  <c:v>-0.17753960402483632</c:v>
                </c:pt>
              </c:numCache>
            </c:numRef>
          </c:val>
        </c:ser>
        <c:dLbls>
          <c:showVal val="1"/>
        </c:dLbls>
        <c:marker val="1"/>
        <c:axId val="212260352"/>
        <c:axId val="212261888"/>
      </c:lineChart>
      <c:catAx>
        <c:axId val="2122484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5.4806708483473891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2258816"/>
        <c:crosses val="autoZero"/>
        <c:auto val="1"/>
        <c:lblAlgn val="ctr"/>
        <c:lblOffset val="100"/>
        <c:tickLblSkip val="1"/>
        <c:tickMarkSkip val="1"/>
      </c:catAx>
      <c:valAx>
        <c:axId val="21225881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12248448"/>
        <c:crosses val="autoZero"/>
        <c:crossBetween val="between"/>
      </c:valAx>
      <c:catAx>
        <c:axId val="212260352"/>
        <c:scaling>
          <c:orientation val="minMax"/>
        </c:scaling>
        <c:delete val="1"/>
        <c:axPos val="b"/>
        <c:tickLblPos val="none"/>
        <c:crossAx val="212261888"/>
        <c:crosses val="autoZero"/>
        <c:auto val="1"/>
        <c:lblAlgn val="ctr"/>
        <c:lblOffset val="100"/>
      </c:catAx>
      <c:valAx>
        <c:axId val="21226188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12260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25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33" r="0.75000000000000933" t="1" header="0" footer="0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catego'!$I$21:$N$21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2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03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catego'!$J$22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catego'!$I$24,'pernocta municipio y catego'!$I$26,'pernocta municipio y catego'!$I$27,'pernocta municipio y catego'!$I$28,'pernocta municipio y catego'!$I$29,'pernocta municipio y catego'!$I$30,'pernocta municipio y catego'!$I$32)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catego'!$J$24,'pernocta municipio y catego'!$J$26:$J$30,'pernocta municipio y catego'!$J$32)</c:f>
              <c:numCache>
                <c:formatCode>#,##0_)</c:formatCode>
                <c:ptCount val="7"/>
                <c:pt idx="0">
                  <c:v>224256</c:v>
                </c:pt>
                <c:pt idx="1">
                  <c:v>224256</c:v>
                </c:pt>
                <c:pt idx="2">
                  <c:v>71618</c:v>
                </c:pt>
                <c:pt idx="3">
                  <c:v>57372</c:v>
                </c:pt>
                <c:pt idx="4">
                  <c:v>75411</c:v>
                </c:pt>
                <c:pt idx="5">
                  <c:v>19855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catego'!$L$22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catego'!$I$24,'pernocta municipio y catego'!$I$26,'pernocta municipio y catego'!$I$27,'pernocta municipio y catego'!$I$28,'pernocta municipio y catego'!$I$29,'pernocta municipio y catego'!$I$30,'pernocta municipio y catego'!$I$32)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catego'!$L$24,'pernocta municipio y catego'!$L$26:$L$30,'pernocta municipio y catego'!$L$32)</c:f>
              <c:numCache>
                <c:formatCode>#,##0_)</c:formatCode>
                <c:ptCount val="7"/>
                <c:pt idx="0">
                  <c:v>193668</c:v>
                </c:pt>
                <c:pt idx="1">
                  <c:v>193668</c:v>
                </c:pt>
                <c:pt idx="2">
                  <c:v>55034</c:v>
                </c:pt>
                <c:pt idx="3">
                  <c:v>58666</c:v>
                </c:pt>
                <c:pt idx="4">
                  <c:v>61775</c:v>
                </c:pt>
                <c:pt idx="5">
                  <c:v>18193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212370944"/>
        <c:axId val="212372864"/>
      </c:barChart>
      <c:lineChart>
        <c:grouping val="standard"/>
        <c:ser>
          <c:idx val="1"/>
          <c:order val="2"/>
          <c:tx>
            <c:strRef>
              <c:f>'pernocta municipio y catego'!$N$22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4558102378574823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0.4435696629397420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-0.30231636845810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93E-2"/>
                  <c:y val="4.113641200255373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529E-2"/>
                  <c:y val="-0.2601299785551753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9376036508546406E-2"/>
                  <c:y val="-3.9163160737963811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742432923535289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catego'!$N$24,'pernocta municipio y catego'!$N$26:$N$30,'pernocta municipio y catego'!$N$32)</c:f>
              <c:numCache>
                <c:formatCode>0.0%</c:formatCode>
                <c:ptCount val="7"/>
                <c:pt idx="0">
                  <c:v>-0.13639768835616439</c:v>
                </c:pt>
                <c:pt idx="1">
                  <c:v>-0.13639768835616439</c:v>
                </c:pt>
                <c:pt idx="2">
                  <c:v>-0.23156189784691</c:v>
                </c:pt>
                <c:pt idx="3">
                  <c:v>2.2554556229519625E-2</c:v>
                </c:pt>
                <c:pt idx="4">
                  <c:v>-0.18082242643646151</c:v>
                </c:pt>
                <c:pt idx="5">
                  <c:v>-8.3706874842608914E-2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212386944"/>
        <c:axId val="212388480"/>
      </c:lineChart>
      <c:catAx>
        <c:axId val="2123709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4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2372864"/>
        <c:crosses val="autoZero"/>
        <c:auto val="1"/>
        <c:lblAlgn val="ctr"/>
        <c:lblOffset val="100"/>
        <c:tickLblSkip val="1"/>
        <c:tickMarkSkip val="1"/>
      </c:catAx>
      <c:valAx>
        <c:axId val="21237286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12370944"/>
        <c:crosses val="autoZero"/>
        <c:crossBetween val="between"/>
      </c:valAx>
      <c:catAx>
        <c:axId val="212386944"/>
        <c:scaling>
          <c:orientation val="minMax"/>
        </c:scaling>
        <c:delete val="1"/>
        <c:axPos val="b"/>
        <c:tickLblPos val="none"/>
        <c:crossAx val="212388480"/>
        <c:crosses val="autoZero"/>
        <c:auto val="1"/>
        <c:lblAlgn val="ctr"/>
        <c:lblOffset val="100"/>
      </c:catAx>
      <c:valAx>
        <c:axId val="21238848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123869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666387850888"/>
          <c:y val="0.1381269337174849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7657808398950909"/>
          <c:y val="0.14378556966093525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491837784982759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'IO municipio y Tipología'!$D$7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('IO municipio y Tipología'!$D$9:$D$11,'IO municipio y Tipología'!$D$13:$D$15,'IO municipio y Tipología'!$D$17:$D$19,'IO municipio y Tipología'!$D$21:$D$23,'IO municipio y Tipología'!$D$25:$D$27)</c:f>
              <c:numCache>
                <c:formatCode>#,##0.00_)</c:formatCode>
                <c:ptCount val="15"/>
                <c:pt idx="0">
                  <c:v>54.358202977071883</c:v>
                </c:pt>
                <c:pt idx="1">
                  <c:v>63.816408769433401</c:v>
                </c:pt>
                <c:pt idx="2">
                  <c:v>45.442623699464505</c:v>
                </c:pt>
                <c:pt idx="3">
                  <c:v>57.336689255463426</c:v>
                </c:pt>
                <c:pt idx="4">
                  <c:v>69.815886269859277</c:v>
                </c:pt>
                <c:pt idx="5">
                  <c:v>43.885093047549042</c:v>
                </c:pt>
                <c:pt idx="6">
                  <c:v>56.991904181811258</c:v>
                </c:pt>
                <c:pt idx="7">
                  <c:v>66.642848288749178</c:v>
                </c:pt>
                <c:pt idx="8">
                  <c:v>51.081542657664549</c:v>
                </c:pt>
                <c:pt idx="9">
                  <c:v>53.995217413409314</c:v>
                </c:pt>
                <c:pt idx="10">
                  <c:v>59.811096091345739</c:v>
                </c:pt>
                <c:pt idx="11">
                  <c:v>44.995128586186198</c:v>
                </c:pt>
                <c:pt idx="12">
                  <c:v>37.709338935825123</c:v>
                </c:pt>
                <c:pt idx="13">
                  <c:v>37.709338935825123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30"/>
        <c:axId val="211826176"/>
        <c:axId val="211828096"/>
      </c:barChart>
      <c:catAx>
        <c:axId val="2118261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4883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1828096"/>
        <c:crosses val="autoZero"/>
        <c:auto val="1"/>
        <c:lblAlgn val="ctr"/>
        <c:lblOffset val="100"/>
        <c:tickLblSkip val="1"/>
        <c:tickMarkSkip val="1"/>
      </c:catAx>
      <c:valAx>
        <c:axId val="211828096"/>
        <c:scaling>
          <c:orientation val="minMax"/>
        </c:scaling>
        <c:delete val="1"/>
        <c:axPos val="l"/>
        <c:numFmt formatCode="#,##0.00_)" sourceLinked="1"/>
        <c:tickLblPos val="none"/>
        <c:crossAx val="211826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888" r="0.75000000000000888" t="1" header="0" footer="0"/>
    <c:pageSetup paperSize="9" orientation="landscape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catego'!$B$7:$E$7</c:f>
          <c:strCache>
            <c:ptCount val="1"/>
            <c:pt idx="0">
              <c:v>INDICES DE OCUPACIÓN EN ALOJAMIENTO DE ADEJE SEGÚN TIPOLOGÍA Y CATEGORÍA DE ESTABLECIMIENTO</c:v>
            </c:pt>
          </c:strCache>
        </c:strRef>
      </c:tx>
      <c:layout>
        <c:manualLayout>
          <c:xMode val="edge"/>
          <c:yMode val="edge"/>
          <c:x val="0.13590941406624449"/>
          <c:y val="3.949776548201752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076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catego'!$C$8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catego'!$B$10,'IO municipio y catego'!$B$12:$B$16)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('IO municipio y catego'!$C$10,'IO municipio y catego'!$C$12:$C$16,'IO municipio y catego'!$C$18)</c:f>
              <c:numCache>
                <c:formatCode>#,##0.00_)</c:formatCode>
                <c:ptCount val="7"/>
                <c:pt idx="0">
                  <c:v>55.615451674608849</c:v>
                </c:pt>
                <c:pt idx="1">
                  <c:v>66.215013478371304</c:v>
                </c:pt>
                <c:pt idx="2">
                  <c:v>60.808670061779935</c:v>
                </c:pt>
                <c:pt idx="3">
                  <c:v>68.555698158423098</c:v>
                </c:pt>
                <c:pt idx="4">
                  <c:v>62.37064566418772</c:v>
                </c:pt>
                <c:pt idx="5">
                  <c:v>69.193095142513044</c:v>
                </c:pt>
                <c:pt idx="6">
                  <c:v>44.204648752749911</c:v>
                </c:pt>
              </c:numCache>
            </c:numRef>
          </c:val>
        </c:ser>
        <c:ser>
          <c:idx val="2"/>
          <c:order val="1"/>
          <c:tx>
            <c:strRef>
              <c:f>'IO municipio y catego'!$D$8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catego'!$B$10,'IO municipio y catego'!$B$12:$B$16)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('IO municipio y catego'!$D$10,'IO municipio y catego'!$D$12:$D$16,'IO municipio y catego'!$D$18)</c:f>
              <c:numCache>
                <c:formatCode>#,##0.00_)</c:formatCode>
                <c:ptCount val="7"/>
                <c:pt idx="0">
                  <c:v>57.336689255463426</c:v>
                </c:pt>
                <c:pt idx="1">
                  <c:v>69.815886269859277</c:v>
                </c:pt>
                <c:pt idx="2">
                  <c:v>65.362406238641242</c:v>
                </c:pt>
                <c:pt idx="3">
                  <c:v>72.957887808063489</c:v>
                </c:pt>
                <c:pt idx="4">
                  <c:v>61.985202958174767</c:v>
                </c:pt>
                <c:pt idx="5">
                  <c:v>69.971898835808915</c:v>
                </c:pt>
                <c:pt idx="6">
                  <c:v>43.885093047549042</c:v>
                </c:pt>
              </c:numCache>
            </c:numRef>
          </c:val>
        </c:ser>
        <c:dLbls>
          <c:showVal val="1"/>
        </c:dLbls>
        <c:gapWidth val="30"/>
        <c:overlap val="-10"/>
        <c:axId val="213497344"/>
        <c:axId val="213499264"/>
      </c:barChart>
      <c:lineChart>
        <c:grouping val="standard"/>
        <c:ser>
          <c:idx val="1"/>
          <c:order val="2"/>
          <c:tx>
            <c:strRef>
              <c:f>'IO municipio y catego'!$E$8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2894897441354136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43945617827E-2"/>
                  <c:y val="-0.2398271317956358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3858945883304E-2"/>
                  <c:y val="-0.1276801938219262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29738977410403E-2"/>
                  <c:y val="-0.2125018416356999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6176435906966034E-2"/>
                  <c:y val="-0.4763461947713916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429127122752262E-2"/>
                  <c:y val="-0.4549635765383797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7251646518606987E-2"/>
                  <c:y val="-0.3829292648190295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6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catego'!$E$10,'IO municipio y catego'!$E$12:$E$16,'IO municipio y catego'!$E$18)</c:f>
              <c:numCache>
                <c:formatCode>0.00%</c:formatCode>
                <c:ptCount val="7"/>
                <c:pt idx="0">
                  <c:v>3.094890950315532E-2</c:v>
                </c:pt>
                <c:pt idx="1">
                  <c:v>5.4381515646208758E-2</c:v>
                </c:pt>
                <c:pt idx="2">
                  <c:v>7.4886297829484444E-2</c:v>
                </c:pt>
                <c:pt idx="3">
                  <c:v>6.4213329714293277E-2</c:v>
                </c:pt>
                <c:pt idx="4">
                  <c:v>-6.1798735913081585E-3</c:v>
                </c:pt>
                <c:pt idx="5">
                  <c:v>1.125551171965661E-2</c:v>
                </c:pt>
                <c:pt idx="6">
                  <c:v>-7.2290067723022088E-3</c:v>
                </c:pt>
              </c:numCache>
            </c:numRef>
          </c:val>
        </c:ser>
        <c:dLbls>
          <c:showVal val="1"/>
        </c:dLbls>
        <c:marker val="1"/>
        <c:axId val="213505152"/>
        <c:axId val="213506688"/>
      </c:lineChart>
      <c:catAx>
        <c:axId val="2134973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2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3499264"/>
        <c:crosses val="autoZero"/>
        <c:auto val="1"/>
        <c:lblAlgn val="ctr"/>
        <c:lblOffset val="100"/>
        <c:tickLblSkip val="1"/>
        <c:tickMarkSkip val="1"/>
      </c:catAx>
      <c:valAx>
        <c:axId val="21349926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13497344"/>
        <c:crosses val="autoZero"/>
        <c:crossBetween val="between"/>
      </c:valAx>
      <c:catAx>
        <c:axId val="213505152"/>
        <c:scaling>
          <c:orientation val="minMax"/>
        </c:scaling>
        <c:delete val="1"/>
        <c:axPos val="b"/>
        <c:tickLblPos val="none"/>
        <c:crossAx val="213506688"/>
        <c:crosses val="autoZero"/>
        <c:auto val="1"/>
        <c:lblAlgn val="ctr"/>
        <c:lblOffset val="100"/>
      </c:catAx>
      <c:valAx>
        <c:axId val="213506688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2135051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90012419151"/>
          <c:y val="0.1298109254014767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33" r="0.75000000000000933" t="1" header="0" footer="0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catego'!$G$7:$J$7</c:f>
          <c:strCache>
            <c:ptCount val="1"/>
            <c:pt idx="0">
              <c:v>INDICES DE OCUPACIÓN EN ALOJAMIENTO DE ARONA SEGÚN TIPOLOGÍA Y CATEGORÍA DE ESTABLECIMIENTO</c:v>
            </c:pt>
          </c:strCache>
        </c:strRef>
      </c:tx>
      <c:layout>
        <c:manualLayout>
          <c:xMode val="edge"/>
          <c:yMode val="edge"/>
          <c:x val="0.13590941406624432"/>
          <c:y val="3.949776548201744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093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catego'!$H$8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catego'!$G$10,'IO municipio y catego'!$G$12:$G$16,'IO municipio y catego'!$G$18)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catego'!$H$10,'IO municipio y catego'!$H$12:$H$16,'IO municipio y catego'!$H$18)</c:f>
              <c:numCache>
                <c:formatCode>#,##0.00_)</c:formatCode>
                <c:ptCount val="7"/>
                <c:pt idx="0">
                  <c:v>56.222793180322093</c:v>
                </c:pt>
                <c:pt idx="1">
                  <c:v>64.814816537400404</c:v>
                </c:pt>
                <c:pt idx="2">
                  <c:v>60.720066261901685</c:v>
                </c:pt>
                <c:pt idx="3">
                  <c:v>71.387114299494897</c:v>
                </c:pt>
                <c:pt idx="4">
                  <c:v>57.568979584922594</c:v>
                </c:pt>
                <c:pt idx="5">
                  <c:v>47.04599524187153</c:v>
                </c:pt>
                <c:pt idx="6">
                  <c:v>51.246327299783125</c:v>
                </c:pt>
              </c:numCache>
            </c:numRef>
          </c:val>
        </c:ser>
        <c:ser>
          <c:idx val="2"/>
          <c:order val="1"/>
          <c:tx>
            <c:strRef>
              <c:f>'IO municipio y catego'!$I$8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catego'!$G$10,'IO municipio y catego'!$G$12:$G$16,'IO municipio y catego'!$G$18)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catego'!$I$10,'IO municipio y catego'!$I$12:$I$16,'IO municipio y catego'!$I$18)</c:f>
              <c:numCache>
                <c:formatCode>#,##0.00_)</c:formatCode>
                <c:ptCount val="7"/>
                <c:pt idx="0">
                  <c:v>56.991904181811258</c:v>
                </c:pt>
                <c:pt idx="1">
                  <c:v>66.642848288749178</c:v>
                </c:pt>
                <c:pt idx="2">
                  <c:v>65.21896063039992</c:v>
                </c:pt>
                <c:pt idx="3">
                  <c:v>74.220568695189996</c:v>
                </c:pt>
                <c:pt idx="4">
                  <c:v>56.756159672952208</c:v>
                </c:pt>
                <c:pt idx="5">
                  <c:v>46.190968931245273</c:v>
                </c:pt>
                <c:pt idx="6">
                  <c:v>51.081542657664549</c:v>
                </c:pt>
              </c:numCache>
            </c:numRef>
          </c:val>
        </c:ser>
        <c:dLbls>
          <c:showVal val="1"/>
        </c:dLbls>
        <c:gapWidth val="30"/>
        <c:overlap val="-10"/>
        <c:axId val="213592320"/>
        <c:axId val="213614976"/>
      </c:barChart>
      <c:lineChart>
        <c:grouping val="standard"/>
        <c:ser>
          <c:idx val="1"/>
          <c:order val="2"/>
          <c:tx>
            <c:strRef>
              <c:f>'IO municipio y catego'!$J$8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588435512532582E-2"/>
                  <c:y val="-0.3019637566094259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93725610812E-2"/>
                  <c:y val="-0.2980391900076939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6.175953208599478E-2"/>
                  <c:y val="-0.1318381979799302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29738977410403E-2"/>
                  <c:y val="-0.2873462438816771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598E-2"/>
                  <c:y val="-0.4056601240853209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7186654631387425E-2"/>
                  <c:y val="-0.3551714767462799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-0.345507227396991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catego'!$J$10,'IO municipio y catego'!$J$12:$J$16,'IO municipio y catego'!$J$18)</c:f>
              <c:numCache>
                <c:formatCode>0.00%</c:formatCode>
                <c:ptCount val="7"/>
                <c:pt idx="0">
                  <c:v>1.3679701024856815E-2</c:v>
                </c:pt>
                <c:pt idx="1">
                  <c:v>2.8203917699804591E-2</c:v>
                </c:pt>
                <c:pt idx="2">
                  <c:v>7.4092382394533543E-2</c:v>
                </c:pt>
                <c:pt idx="3">
                  <c:v>3.9691398419716591E-2</c:v>
                </c:pt>
                <c:pt idx="4">
                  <c:v>-1.4119060609218533E-2</c:v>
                </c:pt>
                <c:pt idx="5">
                  <c:v>-1.8174263425195295E-2</c:v>
                </c:pt>
                <c:pt idx="6">
                  <c:v>-3.2155405236088696E-3</c:v>
                </c:pt>
              </c:numCache>
            </c:numRef>
          </c:val>
        </c:ser>
        <c:dLbls>
          <c:showVal val="1"/>
        </c:dLbls>
        <c:marker val="1"/>
        <c:axId val="213616512"/>
        <c:axId val="213618048"/>
      </c:lineChart>
      <c:catAx>
        <c:axId val="2135923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4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3614976"/>
        <c:crosses val="autoZero"/>
        <c:auto val="1"/>
        <c:lblAlgn val="ctr"/>
        <c:lblOffset val="100"/>
        <c:tickLblSkip val="1"/>
        <c:tickMarkSkip val="1"/>
      </c:catAx>
      <c:valAx>
        <c:axId val="213614976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13592320"/>
        <c:crosses val="autoZero"/>
        <c:crossBetween val="between"/>
      </c:valAx>
      <c:catAx>
        <c:axId val="213616512"/>
        <c:scaling>
          <c:orientation val="minMax"/>
        </c:scaling>
        <c:delete val="1"/>
        <c:axPos val="b"/>
        <c:tickLblPos val="none"/>
        <c:crossAx val="213618048"/>
        <c:crosses val="autoZero"/>
        <c:auto val="1"/>
        <c:lblAlgn val="ctr"/>
        <c:lblOffset val="100"/>
      </c:catAx>
      <c:valAx>
        <c:axId val="213618048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2136165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138728200135032"/>
          <c:y val="0.12149491708546827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catego'!$B$21:$E$21</c:f>
          <c:strCache>
            <c:ptCount val="1"/>
            <c:pt idx="0">
              <c:v>INDICES DE OCUPACIÓN EN ALOJAMIENTO DE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2936286451573331"/>
          <c:y val="3.949776548201752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3996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catego'!$C$22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catego'!$B$24,'IO municipio y catego'!$B$26,'IO municipio y catego'!$B$27,'IO municipio y catego'!$B$28,'IO municipio y catego'!$B$29,'IO municipio y catego'!$B$31)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catego'!$C$24,'IO municipio y catego'!$C$26:$C$29,'IO municipio y catego'!$C$31)</c:f>
              <c:numCache>
                <c:formatCode>#,##0.00_)</c:formatCode>
                <c:ptCount val="6"/>
                <c:pt idx="0">
                  <c:v>55.055308525715972</c:v>
                </c:pt>
                <c:pt idx="1">
                  <c:v>59.624365206741246</c:v>
                </c:pt>
                <c:pt idx="2">
                  <c:v>62.301000589417463</c:v>
                </c:pt>
                <c:pt idx="3">
                  <c:v>52.323487535576355</c:v>
                </c:pt>
                <c:pt idx="4">
                  <c:v>27.000607010976779</c:v>
                </c:pt>
                <c:pt idx="5">
                  <c:v>48.597891400732699</c:v>
                </c:pt>
              </c:numCache>
            </c:numRef>
          </c:val>
        </c:ser>
        <c:ser>
          <c:idx val="2"/>
          <c:order val="1"/>
          <c:tx>
            <c:strRef>
              <c:f>'IO municipio y catego'!$D$22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catego'!$B$24,'IO municipio y catego'!$B$26,'IO municipio y catego'!$B$27,'IO municipio y catego'!$B$28,'IO municipio y catego'!$B$29,'IO municipio y catego'!$B$31)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catego'!$D$24,'IO municipio y catego'!$D$26:$D$29,'IO municipio y catego'!$D$31)</c:f>
              <c:numCache>
                <c:formatCode>#,##0.00_)</c:formatCode>
                <c:ptCount val="6"/>
                <c:pt idx="0">
                  <c:v>53.995217413409314</c:v>
                </c:pt>
                <c:pt idx="1">
                  <c:v>59.811096091345739</c:v>
                </c:pt>
                <c:pt idx="2">
                  <c:v>63.245450507198356</c:v>
                </c:pt>
                <c:pt idx="3">
                  <c:v>49.170663407864112</c:v>
                </c:pt>
                <c:pt idx="4">
                  <c:v>28.176690778491576</c:v>
                </c:pt>
                <c:pt idx="5">
                  <c:v>44.995128586186198</c:v>
                </c:pt>
              </c:numCache>
            </c:numRef>
          </c:val>
        </c:ser>
        <c:dLbls>
          <c:showVal val="1"/>
        </c:dLbls>
        <c:gapWidth val="30"/>
        <c:overlap val="-10"/>
        <c:axId val="213702528"/>
        <c:axId val="213716992"/>
      </c:barChart>
      <c:lineChart>
        <c:grouping val="standard"/>
        <c:ser>
          <c:idx val="1"/>
          <c:order val="2"/>
          <c:tx>
            <c:strRef>
              <c:f>'IO municipio y catego'!$E$22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60436889061E-2"/>
                  <c:y val="-0.3061217607674304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502532177076138E-2"/>
                  <c:y val="-0.264775156743660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1545414556658E-2"/>
                  <c:y val="-0.264894331036063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301030565831726E-2"/>
                  <c:y val="-0.3788220079558670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11993592583191E-2"/>
                  <c:y val="1.4298295873099007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997338857895442E-2"/>
                  <c:y val="-0.3842775058523093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('IO municipio y catego'!$B$24,'IO municipio y catego'!$B$26:$B$29,'IO municipio y catego'!$B$31)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catego'!$E$24,'IO municipio y catego'!$E$26:$E$29,'IO municipio y catego'!$E$31)</c:f>
              <c:numCache>
                <c:formatCode>0.00%</c:formatCode>
                <c:ptCount val="6"/>
                <c:pt idx="0">
                  <c:v>-1.9255020827128714E-2</c:v>
                </c:pt>
                <c:pt idx="1">
                  <c:v>3.1317882204200194E-3</c:v>
                </c:pt>
                <c:pt idx="2">
                  <c:v>1.5159466282172669E-2</c:v>
                </c:pt>
                <c:pt idx="3">
                  <c:v>-6.0256383437142659E-2</c:v>
                </c:pt>
                <c:pt idx="4">
                  <c:v>4.355767879724607E-2</c:v>
                </c:pt>
                <c:pt idx="5">
                  <c:v>-7.4134138554253895E-2</c:v>
                </c:pt>
              </c:numCache>
            </c:numRef>
          </c:val>
        </c:ser>
        <c:dLbls>
          <c:showVal val="1"/>
        </c:dLbls>
        <c:marker val="1"/>
        <c:axId val="213718528"/>
        <c:axId val="213720064"/>
      </c:lineChart>
      <c:catAx>
        <c:axId val="2137025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4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3716992"/>
        <c:crosses val="autoZero"/>
        <c:auto val="1"/>
        <c:lblAlgn val="ctr"/>
        <c:lblOffset val="100"/>
        <c:tickLblSkip val="1"/>
        <c:tickMarkSkip val="1"/>
      </c:catAx>
      <c:valAx>
        <c:axId val="213716992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13702528"/>
        <c:crosses val="autoZero"/>
        <c:crossBetween val="between"/>
      </c:valAx>
      <c:catAx>
        <c:axId val="213718528"/>
        <c:scaling>
          <c:orientation val="minMax"/>
        </c:scaling>
        <c:delete val="1"/>
        <c:axPos val="b"/>
        <c:tickLblPos val="none"/>
        <c:crossAx val="213720064"/>
        <c:crosses val="autoZero"/>
        <c:auto val="1"/>
        <c:lblAlgn val="ctr"/>
        <c:lblOffset val="100"/>
      </c:catAx>
      <c:valAx>
        <c:axId val="213720064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2137185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18802298361353478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'!$C$40:$J$40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4219526285384171"/>
          <c:y val="3.5938903863432202E-3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094"/>
          <c:y val="0.25962782429974718"/>
          <c:w val="0.83325053642039215"/>
          <c:h val="0.47650548004266752"/>
        </c:manualLayout>
      </c:layout>
      <c:lineChart>
        <c:grouping val="standard"/>
        <c:ser>
          <c:idx val="0"/>
          <c:order val="0"/>
          <c:tx>
            <c:strRef>
              <c:f>'tablas Zonas mensual '!$D$41</c:f>
              <c:strCache>
                <c:ptCount val="1"/>
                <c:pt idx="0">
                  <c:v>2007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'tablas Zonas mensual '!$C$42:$C$53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'!$D$42:$D$53</c:f>
              <c:numCache>
                <c:formatCode>#,##0</c:formatCode>
                <c:ptCount val="12"/>
                <c:pt idx="0">
                  <c:v>407126</c:v>
                </c:pt>
                <c:pt idx="1">
                  <c:v>423886</c:v>
                </c:pt>
                <c:pt idx="2">
                  <c:v>489029</c:v>
                </c:pt>
                <c:pt idx="3">
                  <c:v>438237</c:v>
                </c:pt>
                <c:pt idx="4">
                  <c:v>341553</c:v>
                </c:pt>
                <c:pt idx="5">
                  <c:v>411483</c:v>
                </c:pt>
                <c:pt idx="6">
                  <c:v>466179</c:v>
                </c:pt>
                <c:pt idx="7">
                  <c:v>528592</c:v>
                </c:pt>
                <c:pt idx="8">
                  <c:v>409689</c:v>
                </c:pt>
                <c:pt idx="9">
                  <c:v>467144</c:v>
                </c:pt>
                <c:pt idx="10">
                  <c:v>457530</c:v>
                </c:pt>
                <c:pt idx="11">
                  <c:v>438336</c:v>
                </c:pt>
              </c:numCache>
            </c:numRef>
          </c:val>
        </c:ser>
        <c:ser>
          <c:idx val="1"/>
          <c:order val="1"/>
          <c:tx>
            <c:strRef>
              <c:f>'tablas Zonas mensual '!$E$41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'!$C$42:$C$53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'!$E$42:$E$53</c:f>
              <c:numCache>
                <c:formatCode>#,##0</c:formatCode>
                <c:ptCount val="12"/>
                <c:pt idx="0">
                  <c:v>409747</c:v>
                </c:pt>
                <c:pt idx="1">
                  <c:v>459918</c:v>
                </c:pt>
                <c:pt idx="2">
                  <c:v>508083</c:v>
                </c:pt>
                <c:pt idx="3">
                  <c:v>424514</c:v>
                </c:pt>
                <c:pt idx="4">
                  <c:v>413185</c:v>
                </c:pt>
                <c:pt idx="5">
                  <c:v>402431</c:v>
                </c:pt>
                <c:pt idx="6">
                  <c:v>467525</c:v>
                </c:pt>
                <c:pt idx="7">
                  <c:v>531765</c:v>
                </c:pt>
                <c:pt idx="8">
                  <c:v>391359</c:v>
                </c:pt>
                <c:pt idx="9">
                  <c:v>441857</c:v>
                </c:pt>
                <c:pt idx="10">
                  <c:v>431740</c:v>
                </c:pt>
                <c:pt idx="11">
                  <c:v>410203</c:v>
                </c:pt>
              </c:numCache>
            </c:numRef>
          </c:val>
        </c:ser>
        <c:ser>
          <c:idx val="2"/>
          <c:order val="2"/>
          <c:tx>
            <c:strRef>
              <c:f>'tablas Zonas mensual '!$F$41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'!$C$42:$C$53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'!$F$42:$F$53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3"/>
          <c:order val="3"/>
          <c:tx>
            <c:strRef>
              <c:f>'tablas Zonas mensual '!$G$41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F81BD"/>
                </a:solidFill>
              </a:ln>
            </c:spPr>
          </c:marker>
          <c:cat>
            <c:strRef>
              <c:f>'tablas Zonas mensual '!$C$42:$C$53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'!$G$42:$G$47,'tablas Zonas mensual '!$G$48)</c:f>
              <c:numCache>
                <c:formatCode>#,##0</c:formatCode>
                <c:ptCount val="7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</c:numCache>
            </c:numRef>
          </c:val>
        </c:ser>
        <c:marker val="1"/>
        <c:axId val="196820992"/>
        <c:axId val="196822912"/>
      </c:lineChart>
      <c:catAx>
        <c:axId val="19682099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96822912"/>
        <c:crosses val="autoZero"/>
        <c:auto val="1"/>
        <c:lblAlgn val="ctr"/>
        <c:lblOffset val="100"/>
      </c:catAx>
      <c:valAx>
        <c:axId val="1968229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96820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763"/>
          <c:y val="0.16367086189697985"/>
          <c:w val="0.47740773522508845"/>
          <c:h val="6.3562948740286035E-2"/>
        </c:manualLayout>
      </c:layout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1" l="0.70000000000000062" r="0.70000000000000062" t="0.7500000000000121" header="0.30000000000000032" footer="0.30000000000000032"/>
    <c:pageSetup/>
  </c:printSettings>
  <c:userShapes r:id="rId2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catego'!$G$21:$J$21</c:f>
          <c:strCache>
            <c:ptCount val="1"/>
            <c:pt idx="0">
              <c:v>INDICES DE OCUPACIÓN EN ALOJAMIENTO DE SANTA CRUZ SEGÚN TIPOLOGÍA Y CATEGORÍA DE ESTABLECIMIENTO</c:v>
            </c:pt>
          </c:strCache>
        </c:strRef>
      </c:tx>
      <c:layout>
        <c:manualLayout>
          <c:xMode val="edge"/>
          <c:yMode val="edge"/>
          <c:x val="0.11401559529465631"/>
          <c:y val="3.949776548201752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052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catego'!$H$22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catego'!$G$24,'IO municipio y catego'!$G$26,'IO municipio y catego'!$G$27,'IO municipio y catego'!$G$28,'IO municipio y catego'!$G$29,'IO municipio y catego'!$G$30,'IO municipio y catego'!$G$32)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catego'!$H$24,'IO municipio y catego'!$H$26:$H$30,'IO municipio y catego'!$H$32)</c:f>
              <c:numCache>
                <c:formatCode>#,##0.00_)</c:formatCode>
                <c:ptCount val="7"/>
                <c:pt idx="0">
                  <c:v>41.859501432611275</c:v>
                </c:pt>
                <c:pt idx="1">
                  <c:v>41.859501432611275</c:v>
                </c:pt>
                <c:pt idx="2">
                  <c:v>32.173405211141059</c:v>
                </c:pt>
                <c:pt idx="3">
                  <c:v>46.6590761223162</c:v>
                </c:pt>
                <c:pt idx="4">
                  <c:v>52.776300319131067</c:v>
                </c:pt>
                <c:pt idx="5">
                  <c:v>41.988284306469012</c:v>
                </c:pt>
                <c:pt idx="6" formatCode="#,##0_)">
                  <c:v>0</c:v>
                </c:pt>
              </c:numCache>
            </c:numRef>
          </c:val>
        </c:ser>
        <c:ser>
          <c:idx val="2"/>
          <c:order val="1"/>
          <c:tx>
            <c:strRef>
              <c:f>'IO municipio y catego'!$I$22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catego'!$G$24,'IO municipio y catego'!$G$26,'IO municipio y catego'!$G$27,'IO municipio y catego'!$G$28,'IO municipio y catego'!$G$29,'IO municipio y catego'!$G$30,'IO municipio y catego'!$G$32)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catego'!$I$24,'IO municipio y catego'!$I$26:$I$30,'IO municipio y catego'!$I$32)</c:f>
              <c:numCache>
                <c:formatCode>#,##0.00_)</c:formatCode>
                <c:ptCount val="7"/>
                <c:pt idx="0">
                  <c:v>37.709338935825123</c:v>
                </c:pt>
                <c:pt idx="1">
                  <c:v>37.709338935825123</c:v>
                </c:pt>
                <c:pt idx="2">
                  <c:v>26.802316237526359</c:v>
                </c:pt>
                <c:pt idx="3">
                  <c:v>47.711450878334418</c:v>
                </c:pt>
                <c:pt idx="4">
                  <c:v>43.23316163708639</c:v>
                </c:pt>
                <c:pt idx="5">
                  <c:v>42.908018867924532</c:v>
                </c:pt>
                <c:pt idx="6" formatCode="#,##0_)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213812736"/>
        <c:axId val="213814656"/>
      </c:barChart>
      <c:lineChart>
        <c:grouping val="standard"/>
        <c:ser>
          <c:idx val="1"/>
          <c:order val="2"/>
          <c:tx>
            <c:strRef>
              <c:f>'IO municipio y catego'!$J$22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588607904806448E-2"/>
                  <c:y val="-0.2978060798533242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93725610812E-2"/>
                  <c:y val="-0.2938815132515922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-0.3522124183541511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93E-2"/>
                  <c:y val="-0.1584477875816464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5817784124877E-2"/>
                  <c:y val="-0.4680301864553832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80789087706983E-2"/>
                  <c:y val="-0.1389552605300640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492952674055038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catego'!$J$24,'IO municipio y catego'!$J$26:$J$30,'IO municipio y catego'!$J$32)</c:f>
              <c:numCache>
                <c:formatCode>0.00%</c:formatCode>
                <c:ptCount val="7"/>
                <c:pt idx="0">
                  <c:v>-9.9145053207750466E-2</c:v>
                </c:pt>
                <c:pt idx="1">
                  <c:v>-9.9145053207750466E-2</c:v>
                </c:pt>
                <c:pt idx="2">
                  <c:v>-0.16694188688969705</c:v>
                </c:pt>
                <c:pt idx="3">
                  <c:v>2.2554556229519625E-2</c:v>
                </c:pt>
                <c:pt idx="4">
                  <c:v>-0.18082242643646151</c:v>
                </c:pt>
                <c:pt idx="5">
                  <c:v>2.1904552106546054E-2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213828736"/>
        <c:axId val="213830272"/>
      </c:lineChart>
      <c:catAx>
        <c:axId val="2138127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7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3814656"/>
        <c:crosses val="autoZero"/>
        <c:auto val="1"/>
        <c:lblAlgn val="ctr"/>
        <c:lblOffset val="100"/>
        <c:tickLblSkip val="1"/>
        <c:tickMarkSkip val="1"/>
      </c:catAx>
      <c:valAx>
        <c:axId val="213814656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13812736"/>
        <c:crosses val="autoZero"/>
        <c:crossBetween val="between"/>
      </c:valAx>
      <c:catAx>
        <c:axId val="213828736"/>
        <c:scaling>
          <c:orientation val="minMax"/>
        </c:scaling>
        <c:delete val="1"/>
        <c:axPos val="b"/>
        <c:tickLblPos val="none"/>
        <c:crossAx val="213830272"/>
        <c:crosses val="autoZero"/>
        <c:auto val="1"/>
        <c:lblAlgn val="ctr"/>
        <c:lblOffset val="100"/>
      </c:catAx>
      <c:valAx>
        <c:axId val="213830272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2138287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138728200135048"/>
          <c:y val="0.15060094619149775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77" r="0.75000000000000977" t="1" header="0" footer="0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tipología'!$D$7</c:f>
          <c:strCache>
            <c:ptCount val="1"/>
            <c:pt idx="0">
              <c:v>acumulado julio 2010 </c:v>
            </c:pt>
          </c:strCache>
        </c:strRef>
      </c:tx>
      <c:layout>
        <c:manualLayout>
          <c:xMode val="edge"/>
          <c:yMode val="edge"/>
          <c:x val="0.36378575143005731"/>
          <c:y val="0.1304126804996282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198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('EM MUNICIPIO y tipología'!$D$9:$D$11,'EM MUNICIPIO y tipología'!$D$13:$D$15,'EM MUNICIPIO y tipología'!$D$17:$D$19,'EM MUNICIPIO y tipología'!$D$21:$D$23,'EM MUNICIPIO y tipología'!$D$25:$D$27)</c:f>
              <c:numCache>
                <c:formatCode>#,##0.00_)</c:formatCode>
                <c:ptCount val="15"/>
                <c:pt idx="0">
                  <c:v>7.4230055531193955</c:v>
                </c:pt>
                <c:pt idx="1">
                  <c:v>6.9716091279916652</c:v>
                </c:pt>
                <c:pt idx="2">
                  <c:v>8.1188801550950274</c:v>
                </c:pt>
                <c:pt idx="3">
                  <c:v>7.8662886756998951</c:v>
                </c:pt>
                <c:pt idx="4">
                  <c:v>7.5495798162773262</c:v>
                </c:pt>
                <c:pt idx="5">
                  <c:v>8.4760431611669063</c:v>
                </c:pt>
                <c:pt idx="6">
                  <c:v>7.9130712621375832</c:v>
                </c:pt>
                <c:pt idx="7">
                  <c:v>7.7246437529877481</c:v>
                </c:pt>
                <c:pt idx="8">
                  <c:v>8.0703581236339179</c:v>
                </c:pt>
                <c:pt idx="9">
                  <c:v>7.4466807543751008</c:v>
                </c:pt>
                <c:pt idx="10">
                  <c:v>7.3144525342056204</c:v>
                </c:pt>
                <c:pt idx="11">
                  <c:v>7.7342952665845504</c:v>
                </c:pt>
                <c:pt idx="12">
                  <c:v>2.0865799000172385</c:v>
                </c:pt>
                <c:pt idx="13">
                  <c:v>2.0865799000172385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30"/>
        <c:axId val="213390464"/>
        <c:axId val="213392384"/>
      </c:barChart>
      <c:catAx>
        <c:axId val="2133904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3973122705725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3392384"/>
        <c:crosses val="autoZero"/>
        <c:auto val="1"/>
        <c:lblAlgn val="ctr"/>
        <c:lblOffset val="100"/>
        <c:tickLblSkip val="1"/>
        <c:tickMarkSkip val="1"/>
      </c:catAx>
      <c:valAx>
        <c:axId val="213392384"/>
        <c:scaling>
          <c:orientation val="minMax"/>
        </c:scaling>
        <c:delete val="1"/>
        <c:axPos val="l"/>
        <c:numFmt formatCode="#,##0.00_)" sourceLinked="1"/>
        <c:tickLblPos val="none"/>
        <c:crossAx val="213390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899" r="0.75000000000000899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catego'!$B$7:$E$7</c:f>
          <c:strCache>
            <c:ptCount val="1"/>
            <c:pt idx="0">
              <c:v>ESTANCIA MEDIA DE LOS TURISTAS ALOJADOS EN ADEJE SEGÚN TIPOLOGÍA Y CATEGORÍA DE ESTABLECIMIENTO</c:v>
            </c:pt>
          </c:strCache>
        </c:strRef>
      </c:tx>
      <c:layout>
        <c:manualLayout>
          <c:xMode val="edge"/>
          <c:yMode val="edge"/>
          <c:x val="0.13590941406624457"/>
          <c:y val="3.94977654820175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093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catego'!$C$8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catego'!$B$10,'EM municipio y catego'!$B$12:$B$16)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('EM municipio y catego'!$C$10,'EM municipio y catego'!$C$12:$C$16,'EM municipio y catego'!$C$18)</c:f>
              <c:numCache>
                <c:formatCode>#,##0.00_)</c:formatCode>
                <c:ptCount val="7"/>
                <c:pt idx="0">
                  <c:v>8.1532598605680882</c:v>
                </c:pt>
                <c:pt idx="1">
                  <c:v>7.8624342994195553</c:v>
                </c:pt>
                <c:pt idx="2">
                  <c:v>7.0403310578142939</c:v>
                </c:pt>
                <c:pt idx="3">
                  <c:v>7.8551633954368834</c:v>
                </c:pt>
                <c:pt idx="4">
                  <c:v>8.5624304832980513</c:v>
                </c:pt>
                <c:pt idx="5">
                  <c:v>7.1304167959458065</c:v>
                </c:pt>
                <c:pt idx="6">
                  <c:v>8.6704294442486187</c:v>
                </c:pt>
              </c:numCache>
            </c:numRef>
          </c:val>
        </c:ser>
        <c:ser>
          <c:idx val="2"/>
          <c:order val="1"/>
          <c:tx>
            <c:strRef>
              <c:f>'EM municipio y catego'!$D$8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catego'!$B$10,'EM municipio y catego'!$B$12:$B$16)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('EM municipio y catego'!$D$10,'EM municipio y catego'!$D$12:$D$16,'EM municipio y catego'!$D$18)</c:f>
              <c:numCache>
                <c:formatCode>#,##0.00_)</c:formatCode>
                <c:ptCount val="7"/>
                <c:pt idx="0">
                  <c:v>7.8662886756998951</c:v>
                </c:pt>
                <c:pt idx="1">
                  <c:v>7.5495798162773262</c:v>
                </c:pt>
                <c:pt idx="2">
                  <c:v>6.8197293570074127</c:v>
                </c:pt>
                <c:pt idx="3">
                  <c:v>7.6012954952098388</c:v>
                </c:pt>
                <c:pt idx="4">
                  <c:v>8.0533512306043331</c:v>
                </c:pt>
                <c:pt idx="5">
                  <c:v>7.0084439083232812</c:v>
                </c:pt>
                <c:pt idx="6">
                  <c:v>8.4760431611669063</c:v>
                </c:pt>
              </c:numCache>
            </c:numRef>
          </c:val>
        </c:ser>
        <c:dLbls>
          <c:showVal val="1"/>
        </c:dLbls>
        <c:gapWidth val="30"/>
        <c:overlap val="-10"/>
        <c:axId val="214881792"/>
        <c:axId val="214883712"/>
      </c:barChart>
      <c:lineChart>
        <c:grouping val="standard"/>
        <c:ser>
          <c:idx val="1"/>
          <c:order val="2"/>
          <c:tx>
            <c:strRef>
              <c:f>'EM municipio y catego'!$E$8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99053635373794E-2"/>
                  <c:y val="-0.3019637566094258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43945617827E-2"/>
                  <c:y val="-0.3105132024817064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-0.206682600225907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9108007896945347E-2"/>
                  <c:y val="-0.2665558956897542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529E-2"/>
                  <c:y val="-0.48050419892939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239745245593475E-2"/>
                  <c:y val="-0.1306392522140551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5062264641448415E-2"/>
                  <c:y val="-0.2831371650269287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79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catego'!$E$10,'EM municipio y catego'!$E$12:$E$16,'EM municipio y catego'!$E$18)</c:f>
              <c:numCache>
                <c:formatCode>0.00</c:formatCode>
                <c:ptCount val="7"/>
                <c:pt idx="0">
                  <c:v>-0.28697118486819306</c:v>
                </c:pt>
                <c:pt idx="1">
                  <c:v>-0.31285448314222908</c:v>
                </c:pt>
                <c:pt idx="2">
                  <c:v>-0.22060170080688124</c:v>
                </c:pt>
                <c:pt idx="3">
                  <c:v>-0.25386790022704453</c:v>
                </c:pt>
                <c:pt idx="4">
                  <c:v>-0.50907925269371823</c:v>
                </c:pt>
                <c:pt idx="5">
                  <c:v>-0.12197288762252523</c:v>
                </c:pt>
                <c:pt idx="6">
                  <c:v>-0.19438628308171246</c:v>
                </c:pt>
              </c:numCache>
            </c:numRef>
          </c:val>
        </c:ser>
        <c:dLbls>
          <c:showVal val="1"/>
        </c:dLbls>
        <c:marker val="1"/>
        <c:axId val="214889600"/>
        <c:axId val="214891136"/>
      </c:lineChart>
      <c:catAx>
        <c:axId val="2148817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4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4883712"/>
        <c:crosses val="autoZero"/>
        <c:auto val="1"/>
        <c:lblAlgn val="ctr"/>
        <c:lblOffset val="100"/>
        <c:tickLblSkip val="1"/>
        <c:tickMarkSkip val="1"/>
      </c:catAx>
      <c:valAx>
        <c:axId val="214883712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14881792"/>
        <c:crosses val="autoZero"/>
        <c:crossBetween val="between"/>
      </c:valAx>
      <c:catAx>
        <c:axId val="214889600"/>
        <c:scaling>
          <c:orientation val="minMax"/>
        </c:scaling>
        <c:delete val="1"/>
        <c:axPos val="b"/>
        <c:tickLblPos val="none"/>
        <c:crossAx val="214891136"/>
        <c:crosses val="autoZero"/>
        <c:auto val="1"/>
        <c:lblAlgn val="ctr"/>
        <c:lblOffset val="100"/>
      </c:catAx>
      <c:valAx>
        <c:axId val="214891136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2148896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47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catego'!$G$7:$J$7</c:f>
          <c:strCache>
            <c:ptCount val="1"/>
            <c:pt idx="0">
              <c:v>ESTANCIA MEDIA DE LOS TURISTAS ALOJADOS EN  ARONA SEGÚN TIPOLOGÍA Y CATEGORÍA DE ESTABLECIMIENTO</c:v>
            </c:pt>
          </c:strCache>
        </c:strRef>
      </c:tx>
      <c:layout>
        <c:manualLayout>
          <c:xMode val="edge"/>
          <c:yMode val="edge"/>
          <c:x val="0.12277312280329157"/>
          <c:y val="3.949776548201744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15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catego'!$H$8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catego'!$G$10,'EM municipio y catego'!$G$12:$G$16,'EM municipio y catego'!$G$18)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catego'!$H$10,'EM municipio y catego'!$H$12:$H$16,'EM municipio y catego'!$H$18)</c:f>
              <c:numCache>
                <c:formatCode>#,##0.00_)</c:formatCode>
                <c:ptCount val="7"/>
                <c:pt idx="0">
                  <c:v>8.1513584432960755</c:v>
                </c:pt>
                <c:pt idx="1">
                  <c:v>8.1106801032478852</c:v>
                </c:pt>
                <c:pt idx="2">
                  <c:v>7.8596404947500433</c:v>
                </c:pt>
                <c:pt idx="3">
                  <c:v>8.3299753117415687</c:v>
                </c:pt>
                <c:pt idx="4">
                  <c:v>7.85412333410369</c:v>
                </c:pt>
                <c:pt idx="5">
                  <c:v>7.4716624685138537</c:v>
                </c:pt>
                <c:pt idx="6">
                  <c:v>8.1814172422394442</c:v>
                </c:pt>
              </c:numCache>
            </c:numRef>
          </c:val>
        </c:ser>
        <c:ser>
          <c:idx val="2"/>
          <c:order val="1"/>
          <c:tx>
            <c:strRef>
              <c:f>'EM municipio y catego'!$I$8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catego'!$G$10,'EM municipio y catego'!$G$12:$G$16,'EM municipio y catego'!$G$18)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catego'!$I$10,'EM municipio y catego'!$I$12:$I$16,'EM municipio y catego'!$I$18)</c:f>
              <c:numCache>
                <c:formatCode>#,##0.00_)</c:formatCode>
                <c:ptCount val="7"/>
                <c:pt idx="0">
                  <c:v>7.9130712621375832</c:v>
                </c:pt>
                <c:pt idx="1">
                  <c:v>7.7246437529877481</c:v>
                </c:pt>
                <c:pt idx="2">
                  <c:v>7.8531887638393263</c:v>
                </c:pt>
                <c:pt idx="3">
                  <c:v>7.791404938696374</c:v>
                </c:pt>
                <c:pt idx="4">
                  <c:v>7.6247996889845533</c:v>
                </c:pt>
                <c:pt idx="5">
                  <c:v>6.5581481481481481</c:v>
                </c:pt>
                <c:pt idx="6">
                  <c:v>8.0703581236339179</c:v>
                </c:pt>
              </c:numCache>
            </c:numRef>
          </c:val>
        </c:ser>
        <c:dLbls>
          <c:showVal val="1"/>
        </c:dLbls>
        <c:gapWidth val="30"/>
        <c:overlap val="-10"/>
        <c:axId val="214968576"/>
        <c:axId val="214970752"/>
      </c:barChart>
      <c:lineChart>
        <c:grouping val="standard"/>
        <c:ser>
          <c:idx val="1"/>
          <c:order val="2"/>
          <c:tx>
            <c:strRef>
              <c:f>'EM municipio y catego'!$J$8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020289881056234E-2"/>
                  <c:y val="-0.2354360174832617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93725610812E-2"/>
                  <c:y val="-0.2897231816916858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-0.1068901730319054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9108007896945347E-2"/>
                  <c:y val="-0.3829800121138708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529E-2"/>
                  <c:y val="-0.2185499369751340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8508999911077E-2"/>
                  <c:y val="-0.5173336389084420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115355255654277E-2"/>
                  <c:y val="-0.1833450652348291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9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catego'!$J$10,'EM municipio y catego'!$J$12:$J$16,'EM municipio y catego'!$J$18)</c:f>
              <c:numCache>
                <c:formatCode>0.00</c:formatCode>
                <c:ptCount val="7"/>
                <c:pt idx="0">
                  <c:v>-0.23828718115849234</c:v>
                </c:pt>
                <c:pt idx="1">
                  <c:v>-0.38603635026013716</c:v>
                </c:pt>
                <c:pt idx="2">
                  <c:v>-6.4517309107170462E-3</c:v>
                </c:pt>
                <c:pt idx="3">
                  <c:v>-0.53857037304519473</c:v>
                </c:pt>
                <c:pt idx="4">
                  <c:v>-0.22932364511913672</c:v>
                </c:pt>
                <c:pt idx="5">
                  <c:v>-0.91351432036570568</c:v>
                </c:pt>
                <c:pt idx="6">
                  <c:v>-0.11105911860552631</c:v>
                </c:pt>
              </c:numCache>
            </c:numRef>
          </c:val>
        </c:ser>
        <c:dLbls>
          <c:showVal val="1"/>
        </c:dLbls>
        <c:marker val="1"/>
        <c:axId val="214972288"/>
        <c:axId val="214973824"/>
      </c:lineChart>
      <c:catAx>
        <c:axId val="2149685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7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4970752"/>
        <c:crosses val="autoZero"/>
        <c:auto val="1"/>
        <c:lblAlgn val="ctr"/>
        <c:lblOffset val="100"/>
        <c:tickLblSkip val="1"/>
        <c:tickMarkSkip val="1"/>
      </c:catAx>
      <c:valAx>
        <c:axId val="214970752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14968576"/>
        <c:crosses val="autoZero"/>
        <c:crossBetween val="between"/>
      </c:valAx>
      <c:catAx>
        <c:axId val="214972288"/>
        <c:scaling>
          <c:orientation val="minMax"/>
        </c:scaling>
        <c:delete val="1"/>
        <c:axPos val="b"/>
        <c:tickLblPos val="none"/>
        <c:crossAx val="214973824"/>
        <c:crosses val="autoZero"/>
        <c:auto val="1"/>
        <c:lblAlgn val="ctr"/>
        <c:lblOffset val="100"/>
      </c:catAx>
      <c:valAx>
        <c:axId val="214973824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214972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90012419151"/>
          <c:y val="0.1256529212434723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77" r="0.75000000000000977" t="1" header="0" footer="0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catego'!$B$21:$E$21</c:f>
          <c:strCache>
            <c:ptCount val="1"/>
            <c:pt idx="0">
              <c:v>ESTANCIA MEDIA DE LOS TURISTAS ALOJADOS EN 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2936286451573331"/>
          <c:y val="3.94977654820175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013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catego'!$C$22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catego'!$B$24,'EM municipio y catego'!$B$26,'EM municipio y catego'!$B$27,'EM municipio y catego'!$B$28,'EM municipio y catego'!$B$29,'EM municipio y catego'!$B$31)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catego'!$C$24,'EM municipio y catego'!$C$26:$C$29,'EM municipio y catego'!$C$31)</c:f>
              <c:numCache>
                <c:formatCode>#,##0.00_)</c:formatCode>
                <c:ptCount val="6"/>
                <c:pt idx="0">
                  <c:v>7.5759489961088793</c:v>
                </c:pt>
                <c:pt idx="1">
                  <c:v>7.2949145348877007</c:v>
                </c:pt>
                <c:pt idx="2">
                  <c:v>7.4398236092265941</c:v>
                </c:pt>
                <c:pt idx="3">
                  <c:v>6.9794759996857572</c:v>
                </c:pt>
                <c:pt idx="4">
                  <c:v>3.946580406654344</c:v>
                </c:pt>
                <c:pt idx="5">
                  <c:v>8.1182500264186839</c:v>
                </c:pt>
              </c:numCache>
            </c:numRef>
          </c:val>
        </c:ser>
        <c:ser>
          <c:idx val="2"/>
          <c:order val="1"/>
          <c:tx>
            <c:strRef>
              <c:f>'EM municipio y catego'!$D$22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catego'!$B$24,'EM municipio y catego'!$B$26,'EM municipio y catego'!$B$27,'EM municipio y catego'!$B$28,'EM municipio y catego'!$B$29,'EM municipio y catego'!$B$31)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catego'!$D$24,'EM municipio y catego'!$D$26:$D$29,'EM municipio y catego'!$D$31)</c:f>
              <c:numCache>
                <c:formatCode>#,##0.00_)</c:formatCode>
                <c:ptCount val="6"/>
                <c:pt idx="0">
                  <c:v>7.4466807543751008</c:v>
                </c:pt>
                <c:pt idx="1">
                  <c:v>7.3144525342056204</c:v>
                </c:pt>
                <c:pt idx="2">
                  <c:v>7.3756549726970864</c:v>
                </c:pt>
                <c:pt idx="3">
                  <c:v>7.4322975889355583</c:v>
                </c:pt>
                <c:pt idx="4">
                  <c:v>3.9014183155314304</c:v>
                </c:pt>
                <c:pt idx="5">
                  <c:v>7.7342952665845504</c:v>
                </c:pt>
              </c:numCache>
            </c:numRef>
          </c:val>
        </c:ser>
        <c:dLbls>
          <c:showVal val="1"/>
        </c:dLbls>
        <c:gapWidth val="30"/>
        <c:overlap val="-10"/>
        <c:axId val="215046016"/>
        <c:axId val="215052288"/>
      </c:barChart>
      <c:lineChart>
        <c:grouping val="standard"/>
        <c:ser>
          <c:idx val="1"/>
          <c:order val="2"/>
          <c:tx>
            <c:strRef>
              <c:f>'EM municipio y catego'!$E$22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586028805807997E-2"/>
                  <c:y val="-0.3643338189794885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314347992616764E-2"/>
                  <c:y val="-0.306355198323702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1545414556658E-2"/>
                  <c:y val="-0.3397384058801383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36478012453465E-2"/>
                  <c:y val="-0.1376577667916250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23809408123789E-2"/>
                  <c:y val="-0.1603378787630756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056417935598217E-2"/>
                  <c:y val="-0.4715955931703963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9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('EM municipio y catego'!$B$24,'EM municipio y catego'!$B$26:$B$29,'EM municipio y catego'!$B$31)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catego'!$E$24,'EM municipio y catego'!$E$26:$E$29,'EM municipio y catego'!$E$31)</c:f>
              <c:numCache>
                <c:formatCode>0.00</c:formatCode>
                <c:ptCount val="6"/>
                <c:pt idx="0">
                  <c:v>-0.12926824173377849</c:v>
                </c:pt>
                <c:pt idx="1">
                  <c:v>1.9537999317919663E-2</c:v>
                </c:pt>
                <c:pt idx="2">
                  <c:v>-6.4168636529507772E-2</c:v>
                </c:pt>
                <c:pt idx="3">
                  <c:v>0.45282158924980109</c:v>
                </c:pt>
                <c:pt idx="4">
                  <c:v>-4.5162091122913584E-2</c:v>
                </c:pt>
                <c:pt idx="5">
                  <c:v>-0.38395475983413352</c:v>
                </c:pt>
              </c:numCache>
            </c:numRef>
          </c:val>
        </c:ser>
        <c:dLbls>
          <c:showVal val="1"/>
        </c:dLbls>
        <c:marker val="1"/>
        <c:axId val="215053824"/>
        <c:axId val="215055360"/>
      </c:lineChart>
      <c:catAx>
        <c:axId val="2150460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7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5052288"/>
        <c:crosses val="autoZero"/>
        <c:auto val="1"/>
        <c:lblAlgn val="ctr"/>
        <c:lblOffset val="100"/>
        <c:tickLblSkip val="1"/>
        <c:tickMarkSkip val="1"/>
      </c:catAx>
      <c:valAx>
        <c:axId val="21505228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15046016"/>
        <c:crosses val="autoZero"/>
        <c:crossBetween val="between"/>
      </c:valAx>
      <c:catAx>
        <c:axId val="215053824"/>
        <c:scaling>
          <c:orientation val="minMax"/>
        </c:scaling>
        <c:delete val="1"/>
        <c:axPos val="b"/>
        <c:tickLblPos val="none"/>
        <c:crossAx val="215055360"/>
        <c:crosses val="autoZero"/>
        <c:auto val="1"/>
        <c:lblAlgn val="ctr"/>
        <c:lblOffset val="100"/>
      </c:catAx>
      <c:valAx>
        <c:axId val="215055360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2150538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18802298361353478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77" r="0.75000000000000977" t="1" header="0" footer="0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catego'!$G$21:$J$21</c:f>
          <c:strCache>
            <c:ptCount val="1"/>
            <c:pt idx="0">
              <c:v>ESTANCIA MEDIA DE LOS TURISTAS ALOJADOS EN  SANTA CRUZ SEGÚN TIPOLOGÍA Y CATEGORÍA DE ESTABLECIMIENTO</c:v>
            </c:pt>
          </c:strCache>
        </c:strRef>
      </c:tx>
      <c:layout>
        <c:manualLayout>
          <c:xMode val="edge"/>
          <c:yMode val="edge"/>
          <c:x val="0.11401559529465631"/>
          <c:y val="3.949776548201752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08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catego'!$H$22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catego'!$G$24,'EM municipio y catego'!$G$26,'EM municipio y catego'!$G$27,'EM municipio y catego'!$G$28,'EM municipio y catego'!$G$29,'EM municipio y catego'!$G$30,'EM municipio y catego'!$G$32)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catego'!$H$24,'EM municipio y catego'!$H$26:$H$30,'EM municipio y catego'!$H$32)</c:f>
              <c:numCache>
                <c:formatCode>#,##0.00_)</c:formatCode>
                <c:ptCount val="7"/>
                <c:pt idx="0">
                  <c:v>2.3460685441687241</c:v>
                </c:pt>
                <c:pt idx="1">
                  <c:v>2.3460685441687241</c:v>
                </c:pt>
                <c:pt idx="2">
                  <c:v>2.2300482640510664</c:v>
                </c:pt>
                <c:pt idx="3">
                  <c:v>2.1653896961690884</c:v>
                </c:pt>
                <c:pt idx="4">
                  <c:v>2.5075981777674325</c:v>
                </c:pt>
                <c:pt idx="5">
                  <c:v>2.8754525706010137</c:v>
                </c:pt>
                <c:pt idx="6" formatCode="#,##0_)">
                  <c:v>0</c:v>
                </c:pt>
              </c:numCache>
            </c:numRef>
          </c:val>
        </c:ser>
        <c:ser>
          <c:idx val="2"/>
          <c:order val="1"/>
          <c:tx>
            <c:strRef>
              <c:f>'EM municipio y catego'!$I$22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catego'!$G$24,'EM municipio y catego'!$G$26,'EM municipio y catego'!$G$27,'EM municipio y catego'!$G$28,'EM municipio y catego'!$G$29,'EM municipio y catego'!$G$30,'EM municipio y catego'!$G$32)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catego'!$I$24,'EM municipio y catego'!$I$26:$I$30,'EM municipio y catego'!$I$32)</c:f>
              <c:numCache>
                <c:formatCode>#,##0.00_)</c:formatCode>
                <c:ptCount val="7"/>
                <c:pt idx="0">
                  <c:v>2.0865799000172385</c:v>
                </c:pt>
                <c:pt idx="1">
                  <c:v>2.0865799000172385</c:v>
                </c:pt>
                <c:pt idx="2">
                  <c:v>1.8100312448610425</c:v>
                </c:pt>
                <c:pt idx="3">
                  <c:v>2.1225036179450072</c:v>
                </c:pt>
                <c:pt idx="4">
                  <c:v>2.071387855011233</c:v>
                </c:pt>
                <c:pt idx="5">
                  <c:v>3.6768391269199676</c:v>
                </c:pt>
                <c:pt idx="6" formatCode="#,##0_)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215135744"/>
        <c:axId val="215137664"/>
      </c:barChart>
      <c:lineChart>
        <c:grouping val="standard"/>
        <c:ser>
          <c:idx val="1"/>
          <c:order val="2"/>
          <c:tx>
            <c:strRef>
              <c:f>'EM municipio y catego'!$J$22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4777817389691424E-2"/>
                  <c:y val="-0.3185961006433448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3068203210495803E-2"/>
                  <c:y val="-0.3271458739175281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-0.352212418354150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297389774103988E-2"/>
                  <c:y val="-0.233292517229525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598E-2"/>
                  <c:y val="-0.3765540949792925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429127122752262E-2"/>
                  <c:y val="-0.1846933062681094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30473713281319E-2"/>
                  <c:y val="4.5345163455399677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01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catego'!$J$24,'EM municipio y catego'!$J$26:$J$30,'EM municipio y catego'!$J$32)</c:f>
              <c:numCache>
                <c:formatCode>0.00</c:formatCode>
                <c:ptCount val="7"/>
                <c:pt idx="0">
                  <c:v>-0.25948864415148565</c:v>
                </c:pt>
                <c:pt idx="1">
                  <c:v>-0.25948864415148565</c:v>
                </c:pt>
                <c:pt idx="2">
                  <c:v>-0.42001701919002388</c:v>
                </c:pt>
                <c:pt idx="3">
                  <c:v>-4.2886078224081192E-2</c:v>
                </c:pt>
                <c:pt idx="4">
                  <c:v>-0.43621032275619953</c:v>
                </c:pt>
                <c:pt idx="5">
                  <c:v>0.80138655631895395</c:v>
                </c:pt>
                <c:pt idx="6" formatCode="0.00%">
                  <c:v>0</c:v>
                </c:pt>
              </c:numCache>
            </c:numRef>
          </c:val>
        </c:ser>
        <c:dLbls>
          <c:showVal val="1"/>
        </c:dLbls>
        <c:marker val="1"/>
        <c:axId val="215159936"/>
        <c:axId val="215161472"/>
      </c:lineChart>
      <c:catAx>
        <c:axId val="2151357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0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5137664"/>
        <c:crosses val="autoZero"/>
        <c:auto val="1"/>
        <c:lblAlgn val="ctr"/>
        <c:lblOffset val="100"/>
        <c:tickLblSkip val="1"/>
        <c:tickMarkSkip val="1"/>
      </c:catAx>
      <c:valAx>
        <c:axId val="21513766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15135744"/>
        <c:crosses val="autoZero"/>
        <c:crossBetween val="between"/>
      </c:valAx>
      <c:catAx>
        <c:axId val="215159936"/>
        <c:scaling>
          <c:orientation val="minMax"/>
        </c:scaling>
        <c:delete val="1"/>
        <c:axPos val="b"/>
        <c:tickLblPos val="none"/>
        <c:crossAx val="215161472"/>
        <c:crosses val="autoZero"/>
        <c:auto val="1"/>
        <c:lblAlgn val="ctr"/>
        <c:lblOffset val="100"/>
      </c:catAx>
      <c:valAx>
        <c:axId val="215161472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2151599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138728200135048"/>
          <c:y val="0.196338991929543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99" r="0.75000000000000999" t="1" header="0" footer="0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 Aloj Estim zona cat '!$E$7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39288211894511604"/>
          <c:y val="8.1499653748493162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491837784982759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'Ofe Aloj Estim zona cat '!$E$7</c:f>
              <c:strCache>
                <c:ptCount val="1"/>
                <c:pt idx="0">
                  <c:v>I semestre 2010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chemeClr val="accent3">
                      <a:lumMod val="50000"/>
                    </a:scheme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chemeClr val="accent3">
                      <a:lumMod val="75000"/>
                    </a:scheme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chemeClr val="accent3">
                      <a:lumMod val="75000"/>
                    </a:scheme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15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chemeClr val="accent6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6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7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8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accent6">
                      <a:lumMod val="60000"/>
                      <a:lumOff val="40000"/>
                    </a:scheme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9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Hoja1!$A$25:$B$48</c:f>
              <c:multiLvlStrCache>
                <c:ptCount val="2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  <c:pt idx="15">
                    <c:v>Total</c:v>
                  </c:pt>
                  <c:pt idx="16">
                    <c:v>Hotelera</c:v>
                  </c:pt>
                  <c:pt idx="17">
                    <c:v>Extrahotelera</c:v>
                  </c:pt>
                  <c:pt idx="18">
                    <c:v>Total</c:v>
                  </c:pt>
                  <c:pt idx="19">
                    <c:v>Hotelera</c:v>
                  </c:pt>
                  <c:pt idx="20">
                    <c:v>Extrahotelera</c:v>
                  </c:pt>
                  <c:pt idx="21">
                    <c:v>Total</c:v>
                  </c:pt>
                  <c:pt idx="22">
                    <c:v>Hotelera</c:v>
                  </c:pt>
                  <c:pt idx="2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PUERTO DE LA CRUZ</c:v>
                  </c:pt>
                  <c:pt idx="15">
                    <c:v>ZONA 4</c:v>
                  </c:pt>
                  <c:pt idx="18">
                    <c:v>ADEJE</c:v>
                  </c:pt>
                  <c:pt idx="21">
                    <c:v>ARONA</c:v>
                  </c:pt>
                </c:lvl>
              </c:multiLvlStrCache>
            </c:multiLvlStrRef>
          </c:cat>
          <c:val>
            <c:numRef>
              <c:f>('Ofe Aloj Estim zona cat '!$E$9:$E$11,'Ofe Aloj Estim zona cat '!$E$13:$E$15,'Ofe Aloj Estim zona cat '!$E$17:$E$19,'Ofe Aloj Estim zona cat '!$E$21:$E$23,'Ofe Aloj Estim zona cat '!$E$25:$E$27,'Ofe Aloj Estim zona cat '!$E$29:$E$31,'Ofe Aloj Estim zona cat '!$E$33:$E$35,'Ofe Aloj Estim zona cat '!$E$37:$E$39)</c:f>
              <c:numCache>
                <c:formatCode>#,##0_)</c:formatCode>
                <c:ptCount val="24"/>
                <c:pt idx="0">
                  <c:v>178697</c:v>
                </c:pt>
                <c:pt idx="1">
                  <c:v>86541</c:v>
                </c:pt>
                <c:pt idx="2">
                  <c:v>92156</c:v>
                </c:pt>
                <c:pt idx="3">
                  <c:v>2504</c:v>
                </c:pt>
                <c:pt idx="4">
                  <c:v>2504</c:v>
                </c:pt>
                <c:pt idx="5">
                  <c:v>0</c:v>
                </c:pt>
                <c:pt idx="6">
                  <c:v>1713</c:v>
                </c:pt>
                <c:pt idx="7">
                  <c:v>514</c:v>
                </c:pt>
                <c:pt idx="8">
                  <c:v>1199</c:v>
                </c:pt>
                <c:pt idx="9">
                  <c:v>30806</c:v>
                </c:pt>
                <c:pt idx="10">
                  <c:v>18641</c:v>
                </c:pt>
                <c:pt idx="11">
                  <c:v>12165</c:v>
                </c:pt>
                <c:pt idx="12">
                  <c:v>27225</c:v>
                </c:pt>
                <c:pt idx="13">
                  <c:v>16442</c:v>
                </c:pt>
                <c:pt idx="14">
                  <c:v>10783</c:v>
                </c:pt>
                <c:pt idx="15">
                  <c:v>143674</c:v>
                </c:pt>
                <c:pt idx="16">
                  <c:v>64882</c:v>
                </c:pt>
                <c:pt idx="17">
                  <c:v>78792</c:v>
                </c:pt>
                <c:pt idx="18">
                  <c:v>63430</c:v>
                </c:pt>
                <c:pt idx="19">
                  <c:v>32855</c:v>
                </c:pt>
                <c:pt idx="20">
                  <c:v>30575</c:v>
                </c:pt>
                <c:pt idx="21">
                  <c:v>53697</c:v>
                </c:pt>
                <c:pt idx="22">
                  <c:v>20363</c:v>
                </c:pt>
                <c:pt idx="23">
                  <c:v>33334</c:v>
                </c:pt>
              </c:numCache>
            </c:numRef>
          </c:val>
        </c:ser>
        <c:dLbls>
          <c:showVal val="1"/>
        </c:dLbls>
        <c:gapWidth val="30"/>
        <c:axId val="216303104"/>
        <c:axId val="216305024"/>
      </c:barChart>
      <c:catAx>
        <c:axId val="2163031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9642640823833E-4"/>
              <c:y val="0.963905204031906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6305024"/>
        <c:crosses val="autoZero"/>
        <c:auto val="1"/>
        <c:lblAlgn val="ctr"/>
        <c:lblOffset val="100"/>
        <c:tickLblSkip val="1"/>
        <c:tickMarkSkip val="1"/>
      </c:catAx>
      <c:valAx>
        <c:axId val="216305024"/>
        <c:scaling>
          <c:orientation val="minMax"/>
        </c:scaling>
        <c:delete val="1"/>
        <c:axPos val="l"/>
        <c:numFmt formatCode="#,##0_)" sourceLinked="1"/>
        <c:tickLblPos val="none"/>
        <c:crossAx val="216303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899" r="0.75000000000000899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 Aloj Estim zona cat '!$L$7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38872411478710966"/>
          <c:y val="7.4984995768037133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491837784982759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'Ofe Aloj Estim zona cat '!$L$7</c:f>
              <c:strCache>
                <c:ptCount val="1"/>
                <c:pt idx="0">
                  <c:v>II semestre 2010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rgbClr val="1F497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rgbClr val="1F497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5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chemeClr val="accent6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6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7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8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9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prstClr val="white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Hoja1!$A$25:$B$48</c:f>
              <c:multiLvlStrCache>
                <c:ptCount val="2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  <c:pt idx="15">
                    <c:v>Total</c:v>
                  </c:pt>
                  <c:pt idx="16">
                    <c:v>Hotelera</c:v>
                  </c:pt>
                  <c:pt idx="17">
                    <c:v>Extrahotelera</c:v>
                  </c:pt>
                  <c:pt idx="18">
                    <c:v>Total</c:v>
                  </c:pt>
                  <c:pt idx="19">
                    <c:v>Hotelera</c:v>
                  </c:pt>
                  <c:pt idx="20">
                    <c:v>Extrahotelera</c:v>
                  </c:pt>
                  <c:pt idx="21">
                    <c:v>Total</c:v>
                  </c:pt>
                  <c:pt idx="22">
                    <c:v>Hotelera</c:v>
                  </c:pt>
                  <c:pt idx="2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PUERTO DE LA CRUZ</c:v>
                  </c:pt>
                  <c:pt idx="15">
                    <c:v>ZONA 4</c:v>
                  </c:pt>
                  <c:pt idx="18">
                    <c:v>ADEJE</c:v>
                  </c:pt>
                  <c:pt idx="21">
                    <c:v>ARONA</c:v>
                  </c:pt>
                </c:lvl>
              </c:multiLvlStrCache>
            </c:multiLvlStrRef>
          </c:cat>
          <c:val>
            <c:numRef>
              <c:f>('Ofe Aloj Estim zona cat '!$E$9:$E$11,'Ofe Aloj Estim zona cat '!$E$13:$E$15,'Ofe Aloj Estim zona cat '!$E$17:$E$19,'Ofe Aloj Estim zona cat '!$E$21:$E$23,'Ofe Aloj Estim zona cat '!$E$25:$E$27,'Ofe Aloj Estim zona cat '!$E$29:$E$31,'Ofe Aloj Estim zona cat '!$E$33:$E$35,'Ofe Aloj Estim zona cat '!$E$37:$E$39)</c:f>
              <c:numCache>
                <c:formatCode>#,##0_)</c:formatCode>
                <c:ptCount val="24"/>
                <c:pt idx="0">
                  <c:v>178697</c:v>
                </c:pt>
                <c:pt idx="1">
                  <c:v>86541</c:v>
                </c:pt>
                <c:pt idx="2">
                  <c:v>92156</c:v>
                </c:pt>
                <c:pt idx="3">
                  <c:v>2504</c:v>
                </c:pt>
                <c:pt idx="4">
                  <c:v>2504</c:v>
                </c:pt>
                <c:pt idx="5">
                  <c:v>0</c:v>
                </c:pt>
                <c:pt idx="6">
                  <c:v>1713</c:v>
                </c:pt>
                <c:pt idx="7">
                  <c:v>514</c:v>
                </c:pt>
                <c:pt idx="8">
                  <c:v>1199</c:v>
                </c:pt>
                <c:pt idx="9">
                  <c:v>30806</c:v>
                </c:pt>
                <c:pt idx="10">
                  <c:v>18641</c:v>
                </c:pt>
                <c:pt idx="11">
                  <c:v>12165</c:v>
                </c:pt>
                <c:pt idx="12">
                  <c:v>27225</c:v>
                </c:pt>
                <c:pt idx="13">
                  <c:v>16442</c:v>
                </c:pt>
                <c:pt idx="14">
                  <c:v>10783</c:v>
                </c:pt>
                <c:pt idx="15">
                  <c:v>143674</c:v>
                </c:pt>
                <c:pt idx="16">
                  <c:v>64882</c:v>
                </c:pt>
                <c:pt idx="17">
                  <c:v>78792</c:v>
                </c:pt>
                <c:pt idx="18">
                  <c:v>63430</c:v>
                </c:pt>
                <c:pt idx="19">
                  <c:v>32855</c:v>
                </c:pt>
                <c:pt idx="20">
                  <c:v>30575</c:v>
                </c:pt>
                <c:pt idx="21">
                  <c:v>53697</c:v>
                </c:pt>
                <c:pt idx="22">
                  <c:v>20363</c:v>
                </c:pt>
                <c:pt idx="23">
                  <c:v>33334</c:v>
                </c:pt>
              </c:numCache>
            </c:numRef>
          </c:val>
        </c:ser>
        <c:dLbls>
          <c:showVal val="1"/>
        </c:dLbls>
        <c:gapWidth val="30"/>
        <c:axId val="216359680"/>
        <c:axId val="216361600"/>
      </c:barChart>
      <c:catAx>
        <c:axId val="2163596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3973122705779E-4"/>
              <c:y val="0.9476184792304386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6361600"/>
        <c:crosses val="autoZero"/>
        <c:auto val="1"/>
        <c:lblAlgn val="ctr"/>
        <c:lblOffset val="100"/>
        <c:tickLblSkip val="1"/>
        <c:tickMarkSkip val="1"/>
      </c:catAx>
      <c:valAx>
        <c:axId val="216361600"/>
        <c:scaling>
          <c:orientation val="minMax"/>
        </c:scaling>
        <c:delete val="1"/>
        <c:axPos val="l"/>
        <c:numFmt formatCode="#,##0_)" sourceLinked="1"/>
        <c:tickLblPos val="none"/>
        <c:crossAx val="216359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21" r="0.75000000000000921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categ'!$C$6:$H$6</c:f>
          <c:strCache>
            <c:ptCount val="1"/>
            <c:pt idx="0">
              <c:v>PLAZAS ALOJATIVAS ESTIMADAS EN ADEJE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602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2866451820105391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categ'!$D$7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categ'!$D$8:$D$14</c:f>
              <c:numCache>
                <c:formatCode>#,##0_)</c:formatCode>
                <c:ptCount val="7"/>
                <c:pt idx="0">
                  <c:v>65517</c:v>
                </c:pt>
                <c:pt idx="1">
                  <c:v>33977</c:v>
                </c:pt>
                <c:pt idx="2">
                  <c:v>4520</c:v>
                </c:pt>
                <c:pt idx="3">
                  <c:v>21699</c:v>
                </c:pt>
                <c:pt idx="4">
                  <c:v>7288</c:v>
                </c:pt>
                <c:pt idx="5">
                  <c:v>470</c:v>
                </c:pt>
                <c:pt idx="6">
                  <c:v>31540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categ'!$F$7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categ'!$F$8:$F$14</c:f>
              <c:numCache>
                <c:formatCode>#,##0_)</c:formatCode>
                <c:ptCount val="7"/>
                <c:pt idx="0">
                  <c:v>63430</c:v>
                </c:pt>
                <c:pt idx="1">
                  <c:v>32855</c:v>
                </c:pt>
                <c:pt idx="2">
                  <c:v>4568</c:v>
                </c:pt>
                <c:pt idx="3">
                  <c:v>21699</c:v>
                </c:pt>
                <c:pt idx="4">
                  <c:v>6118</c:v>
                </c:pt>
                <c:pt idx="5">
                  <c:v>470</c:v>
                </c:pt>
                <c:pt idx="6">
                  <c:v>30575</c:v>
                </c:pt>
              </c:numCache>
            </c:numRef>
          </c:val>
        </c:ser>
        <c:dLbls>
          <c:showVal val="1"/>
        </c:dLbls>
        <c:gapWidth val="30"/>
        <c:overlap val="-10"/>
        <c:axId val="217589632"/>
        <c:axId val="217604096"/>
      </c:barChart>
      <c:lineChart>
        <c:grouping val="standard"/>
        <c:ser>
          <c:idx val="1"/>
          <c:order val="2"/>
          <c:tx>
            <c:strRef>
              <c:f>'Oferta Alojat Estim tipol categ'!$H$7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76550667854E-2"/>
                  <c:y val="-0.2797264073334124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1578917393E-2"/>
                  <c:y val="-0.1130009793551925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02185416163E-2"/>
                  <c:y val="0.1553918595996397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932885523401E-2"/>
                  <c:y val="7.1701335840482728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743591414756E-2"/>
                  <c:y val="-0.1764146198143144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43476950173E-2"/>
                  <c:y val="0.1780345516511930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740939586575E-2"/>
                  <c:y val="-9.0455125945078027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categ'!$H$8:$H$14</c:f>
              <c:numCache>
                <c:formatCode>0.00%</c:formatCode>
                <c:ptCount val="7"/>
                <c:pt idx="0">
                  <c:v>-3.1854327884365888E-2</c:v>
                </c:pt>
                <c:pt idx="1">
                  <c:v>-3.3022338640845278E-2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-0.16053787047200879</c:v>
                </c:pt>
                <c:pt idx="5">
                  <c:v>0</c:v>
                </c:pt>
                <c:pt idx="6">
                  <c:v>-3.0596068484464174E-2</c:v>
                </c:pt>
              </c:numCache>
            </c:numRef>
          </c:val>
        </c:ser>
        <c:dLbls>
          <c:showVal val="1"/>
        </c:dLbls>
        <c:marker val="1"/>
        <c:axId val="217605632"/>
        <c:axId val="217607168"/>
      </c:lineChart>
      <c:catAx>
        <c:axId val="2175896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7604096"/>
        <c:crosses val="autoZero"/>
        <c:auto val="1"/>
        <c:lblAlgn val="ctr"/>
        <c:lblOffset val="100"/>
        <c:tickLblSkip val="1"/>
        <c:tickMarkSkip val="1"/>
      </c:catAx>
      <c:valAx>
        <c:axId val="21760409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17589632"/>
        <c:crosses val="autoZero"/>
        <c:crossBetween val="between"/>
      </c:valAx>
      <c:catAx>
        <c:axId val="217605632"/>
        <c:scaling>
          <c:orientation val="minMax"/>
        </c:scaling>
        <c:delete val="1"/>
        <c:axPos val="b"/>
        <c:tickLblPos val="none"/>
        <c:crossAx val="217607168"/>
        <c:crosses val="autoZero"/>
        <c:auto val="1"/>
        <c:lblAlgn val="ctr"/>
        <c:lblOffset val="100"/>
      </c:catAx>
      <c:valAx>
        <c:axId val="217607168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2176056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606"/>
          <c:y val="0.13615230931954375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899" r="0.75000000000000899" t="1" header="0" footer="0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categ'!$J$6:$O$6</c:f>
          <c:strCache>
            <c:ptCount val="1"/>
            <c:pt idx="0">
              <c:v>PLAZAS ALOJATIVAS ESTIMADAS  EN ADEJE SEGÚN TIPOLOGÍA Y CATEGORÍA (*)</c:v>
            </c:pt>
          </c:strCache>
        </c:strRef>
      </c:tx>
      <c:layout>
        <c:manualLayout>
          <c:xMode val="edge"/>
          <c:yMode val="edge"/>
          <c:x val="0.14827583699292601"/>
          <c:y val="7.6494796624276503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39380241484E-2"/>
          <c:y val="0.29936056069914441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categ'!$K$7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categ'!$J$8:$J$14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categ'!$K$8:$K$14</c:f>
              <c:numCache>
                <c:formatCode>#,##0_)</c:formatCode>
                <c:ptCount val="7"/>
                <c:pt idx="0">
                  <c:v>64757</c:v>
                </c:pt>
                <c:pt idx="1">
                  <c:v>33507</c:v>
                </c:pt>
                <c:pt idx="2">
                  <c:v>4520</c:v>
                </c:pt>
                <c:pt idx="3">
                  <c:v>21699</c:v>
                </c:pt>
                <c:pt idx="4">
                  <c:v>6818</c:v>
                </c:pt>
                <c:pt idx="5">
                  <c:v>470</c:v>
                </c:pt>
                <c:pt idx="6">
                  <c:v>31250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categ'!$M$7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categ'!$J$8:$J$14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categ'!$M$8:$M$14</c:f>
              <c:numCache>
                <c:formatCode>#,##0_)</c:formatCode>
                <c:ptCount val="7"/>
                <c:pt idx="0">
                  <c:v>62780</c:v>
                </c:pt>
                <c:pt idx="1">
                  <c:v>32855</c:v>
                </c:pt>
                <c:pt idx="2">
                  <c:v>4568</c:v>
                </c:pt>
                <c:pt idx="3">
                  <c:v>21699</c:v>
                </c:pt>
                <c:pt idx="4">
                  <c:v>6118</c:v>
                </c:pt>
                <c:pt idx="5">
                  <c:v>470</c:v>
                </c:pt>
                <c:pt idx="6">
                  <c:v>29925</c:v>
                </c:pt>
              </c:numCache>
            </c:numRef>
          </c:val>
        </c:ser>
        <c:dLbls>
          <c:showVal val="1"/>
        </c:dLbls>
        <c:gapWidth val="30"/>
        <c:overlap val="-10"/>
        <c:axId val="217680512"/>
        <c:axId val="217707264"/>
      </c:barChart>
      <c:lineChart>
        <c:grouping val="standard"/>
        <c:ser>
          <c:idx val="1"/>
          <c:order val="2"/>
          <c:tx>
            <c:strRef>
              <c:f>'Oferta Alojat Estim tipol categ'!$O$7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31130036400694E-2"/>
                  <c:y val="-0.3044541454505623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33572233691458E-2"/>
                  <c:y val="-0.1052223704648160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70711812639639E-2"/>
                  <c:y val="0.1528166379368678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83555467572705E-2"/>
                  <c:y val="6.0852960979764529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988728320196504E-2"/>
                  <c:y val="-0.1573110485977119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543391927214864E-2"/>
                  <c:y val="0.1743999436833231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662144527983293E-2"/>
                  <c:y val="-0.1585132397291096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categ'!$O$8:$O$14</c:f>
              <c:numCache>
                <c:formatCode>0.00%</c:formatCode>
                <c:ptCount val="7"/>
                <c:pt idx="0">
                  <c:v>-3.0529518044381303E-2</c:v>
                </c:pt>
                <c:pt idx="1">
                  <c:v>-1.945862058674307E-2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-0.10266940451745379</c:v>
                </c:pt>
                <c:pt idx="5">
                  <c:v>0</c:v>
                </c:pt>
                <c:pt idx="6">
                  <c:v>-4.24E-2</c:v>
                </c:pt>
              </c:numCache>
            </c:numRef>
          </c:val>
        </c:ser>
        <c:dLbls>
          <c:showVal val="1"/>
        </c:dLbls>
        <c:marker val="1"/>
        <c:axId val="217708800"/>
        <c:axId val="217776128"/>
      </c:lineChart>
      <c:catAx>
        <c:axId val="2176805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7707264"/>
        <c:crosses val="autoZero"/>
        <c:auto val="1"/>
        <c:lblAlgn val="ctr"/>
        <c:lblOffset val="100"/>
        <c:tickLblSkip val="1"/>
        <c:tickMarkSkip val="1"/>
      </c:catAx>
      <c:valAx>
        <c:axId val="21770726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17680512"/>
        <c:crosses val="autoZero"/>
        <c:crossBetween val="between"/>
      </c:valAx>
      <c:catAx>
        <c:axId val="217708800"/>
        <c:scaling>
          <c:orientation val="minMax"/>
        </c:scaling>
        <c:delete val="1"/>
        <c:axPos val="b"/>
        <c:tickLblPos val="none"/>
        <c:crossAx val="217776128"/>
        <c:crosses val="autoZero"/>
        <c:auto val="1"/>
        <c:lblAlgn val="ctr"/>
        <c:lblOffset val="100"/>
      </c:catAx>
      <c:valAx>
        <c:axId val="217776128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2177088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418748964742707"/>
          <c:y val="0.15489210167709053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21" r="0.75000000000000921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'!$C$3:$J$3</c:f>
          <c:strCache>
            <c:ptCount val="1"/>
            <c:pt idx="0">
              <c:v>EVOLUCIÓN DEL TURISMO  ALOJADO EN ADEJE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'!$D$4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'!$C$69,'tablas turistas por categorías '!$C$56,'tablas turistas por categorías '!$C$43,'tablas turistas por categorías '!$C$30)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'!$D$69,'tablas turistas por categorías '!$D$56,'tablas turistas por categorías '!$D$43,'tablas turistas por categorías '!$D$30)</c:f>
              <c:numCache>
                <c:formatCode>#,##0</c:formatCode>
                <c:ptCount val="4"/>
                <c:pt idx="0">
                  <c:v>21187</c:v>
                </c:pt>
                <c:pt idx="1">
                  <c:v>20497</c:v>
                </c:pt>
                <c:pt idx="2">
                  <c:v>22704</c:v>
                </c:pt>
                <c:pt idx="3">
                  <c:v>16202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'!$E$4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'!$C$69,'tablas turistas por categorías '!$C$56,'tablas turistas por categorías '!$C$43,'tablas turistas por categorías '!$C$30)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'!$E$69,'tablas turistas por categorías '!$E$56,'tablas turistas por categorías '!$E$43,'tablas turistas por categorías '!$E$30)</c:f>
              <c:numCache>
                <c:formatCode>#,##0</c:formatCode>
                <c:ptCount val="4"/>
                <c:pt idx="0">
                  <c:v>242176</c:v>
                </c:pt>
                <c:pt idx="1">
                  <c:v>234115</c:v>
                </c:pt>
                <c:pt idx="2">
                  <c:v>241394</c:v>
                </c:pt>
                <c:pt idx="3">
                  <c:v>177921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'!$F$4</c:f>
              <c:strCache>
                <c:ptCount val="1"/>
                <c:pt idx="0">
                  <c:v> 4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'!$C$69,'tablas turistas por categorías '!$C$56,'tablas turistas por categorías '!$C$43,'tablas turistas por categorías '!$C$30)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'!$F$69,'tablas turistas por categorías '!$F$56,'tablas turistas por categorías '!$F$43,'tablas turistas por categorías '!$F$30)</c:f>
              <c:numCache>
                <c:formatCode>#,##0</c:formatCode>
                <c:ptCount val="4"/>
                <c:pt idx="0">
                  <c:v>775718</c:v>
                </c:pt>
                <c:pt idx="1">
                  <c:v>757996</c:v>
                </c:pt>
                <c:pt idx="2">
                  <c:v>769419</c:v>
                </c:pt>
                <c:pt idx="3">
                  <c:v>712991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'!$G$4</c:f>
              <c:strCache>
                <c:ptCount val="1"/>
                <c:pt idx="0">
                  <c:v>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'!$C$69,'tablas turistas por categorías '!$C$56,'tablas turistas por categorías '!$C$43,'tablas turistas por categorías '!$C$30)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'!$G$69,'tablas turistas por categorías '!$G$56,'tablas turistas por categorías '!$G$43,'tablas turistas por categorías '!$G$30)</c:f>
              <c:numCache>
                <c:formatCode>#,##0</c:formatCode>
                <c:ptCount val="4"/>
                <c:pt idx="0">
                  <c:v>183410</c:v>
                </c:pt>
                <c:pt idx="1">
                  <c:v>182962</c:v>
                </c:pt>
                <c:pt idx="2">
                  <c:v>174618</c:v>
                </c:pt>
                <c:pt idx="3">
                  <c:v>145326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'!$I$4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'!$C$69,'tablas turistas por categorías '!$C$56,'tablas turistas por categorías '!$C$43,'tablas turistas por categorías '!$C$30)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'!$I$69,'tablas turistas por categorías '!$I$56,'tablas turistas por categorías '!$I$43,'tablas turistas por categorías '!$I$30)</c:f>
              <c:numCache>
                <c:formatCode>#,##0</c:formatCode>
                <c:ptCount val="4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</c:numCache>
            </c:numRef>
          </c:val>
        </c:ser>
        <c:marker val="1"/>
        <c:axId val="196173824"/>
        <c:axId val="196175744"/>
      </c:lineChart>
      <c:catAx>
        <c:axId val="196173824"/>
        <c:scaling>
          <c:orientation val="minMax"/>
        </c:scaling>
        <c:axPos val="b"/>
        <c:numFmt formatCode="General" sourceLinked="1"/>
        <c:tickLblPos val="nextTo"/>
        <c:crossAx val="196175744"/>
        <c:crosses val="autoZero"/>
        <c:auto val="1"/>
        <c:lblAlgn val="ctr"/>
        <c:lblOffset val="100"/>
      </c:catAx>
      <c:valAx>
        <c:axId val="196175744"/>
        <c:scaling>
          <c:orientation val="minMax"/>
        </c:scaling>
        <c:axPos val="l"/>
        <c:numFmt formatCode="#,##0" sourceLinked="1"/>
        <c:tickLblPos val="nextTo"/>
        <c:crossAx val="196173824"/>
        <c:crosses val="autoZero"/>
        <c:crossBetween val="between"/>
      </c:valAx>
    </c:plotArea>
    <c:legend>
      <c:legendPos val="t"/>
      <c:layout/>
    </c:legend>
    <c:plotVisOnly val="1"/>
  </c:chart>
  <c:spPr>
    <a:noFill/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categ'!$C$19:$H$19</c:f>
          <c:strCache>
            <c:ptCount val="1"/>
            <c:pt idx="0">
              <c:v>PLAZAS ALOJATIVAS ESTIMADAS EN ARONA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635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2866451820105402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categ'!$D$20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categ'!$C$21:$C$27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categ'!$D$21:$D$27</c:f>
              <c:numCache>
                <c:formatCode>#,##0_)</c:formatCode>
                <c:ptCount val="7"/>
                <c:pt idx="0">
                  <c:v>55465</c:v>
                </c:pt>
                <c:pt idx="1">
                  <c:v>20292</c:v>
                </c:pt>
                <c:pt idx="2">
                  <c:v>2483</c:v>
                </c:pt>
                <c:pt idx="3">
                  <c:v>10523</c:v>
                </c:pt>
                <c:pt idx="4">
                  <c:v>6683</c:v>
                </c:pt>
                <c:pt idx="5">
                  <c:v>603</c:v>
                </c:pt>
                <c:pt idx="6">
                  <c:v>35173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categ'!$F$20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categ'!$C$21:$C$27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categ'!$F$21:$F$27</c:f>
              <c:numCache>
                <c:formatCode>#,##0_)</c:formatCode>
                <c:ptCount val="7"/>
                <c:pt idx="0">
                  <c:v>53697</c:v>
                </c:pt>
                <c:pt idx="1">
                  <c:v>20363</c:v>
                </c:pt>
                <c:pt idx="2">
                  <c:v>2483</c:v>
                </c:pt>
                <c:pt idx="3">
                  <c:v>10650</c:v>
                </c:pt>
                <c:pt idx="4">
                  <c:v>6683</c:v>
                </c:pt>
                <c:pt idx="5">
                  <c:v>547</c:v>
                </c:pt>
                <c:pt idx="6">
                  <c:v>33334</c:v>
                </c:pt>
              </c:numCache>
            </c:numRef>
          </c:val>
        </c:ser>
        <c:dLbls>
          <c:showVal val="1"/>
        </c:dLbls>
        <c:gapWidth val="30"/>
        <c:overlap val="-10"/>
        <c:axId val="217860736"/>
        <c:axId val="217871104"/>
      </c:barChart>
      <c:lineChart>
        <c:grouping val="standard"/>
        <c:ser>
          <c:idx val="1"/>
          <c:order val="2"/>
          <c:tx>
            <c:strRef>
              <c:f>'Oferta Alojat Estim tipol categ'!$H$7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76550667854E-2"/>
                  <c:y val="-0.2797264073334125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4950868744712687E-2"/>
                  <c:y val="-5.469204104588981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02185416163E-2"/>
                  <c:y val="0.1553918595996398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9798919763251E-2"/>
                  <c:y val="7.71408675956321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743591414756E-2"/>
                  <c:y val="-0.1764146198143144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43476950131E-2"/>
                  <c:y val="0.1780345516511930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568458384850568E-2"/>
                  <c:y val="-0.152651530803547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categ'!$H$8:$H$14</c:f>
              <c:numCache>
                <c:formatCode>0.00%</c:formatCode>
                <c:ptCount val="7"/>
                <c:pt idx="0">
                  <c:v>-3.1854327884365888E-2</c:v>
                </c:pt>
                <c:pt idx="1">
                  <c:v>-3.3022338640845278E-2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-0.16053787047200879</c:v>
                </c:pt>
                <c:pt idx="5">
                  <c:v>0</c:v>
                </c:pt>
                <c:pt idx="6">
                  <c:v>-3.0596068484464174E-2</c:v>
                </c:pt>
              </c:numCache>
            </c:numRef>
          </c:val>
        </c:ser>
        <c:dLbls>
          <c:showVal val="1"/>
        </c:dLbls>
        <c:marker val="1"/>
        <c:axId val="217872640"/>
        <c:axId val="217874432"/>
      </c:lineChart>
      <c:catAx>
        <c:axId val="2178607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7871104"/>
        <c:crosses val="autoZero"/>
        <c:auto val="1"/>
        <c:lblAlgn val="ctr"/>
        <c:lblOffset val="100"/>
        <c:tickLblSkip val="1"/>
        <c:tickMarkSkip val="1"/>
      </c:catAx>
      <c:valAx>
        <c:axId val="21787110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17860736"/>
        <c:crosses val="autoZero"/>
        <c:crossBetween val="between"/>
      </c:valAx>
      <c:catAx>
        <c:axId val="217872640"/>
        <c:scaling>
          <c:orientation val="minMax"/>
        </c:scaling>
        <c:delete val="1"/>
        <c:axPos val="b"/>
        <c:tickLblPos val="none"/>
        <c:crossAx val="217874432"/>
        <c:crosses val="autoZero"/>
        <c:auto val="1"/>
        <c:lblAlgn val="ctr"/>
        <c:lblOffset val="100"/>
      </c:catAx>
      <c:valAx>
        <c:axId val="217874432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2178726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62"/>
          <c:y val="0.136152309319543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21" r="0.75000000000000921" t="1" header="0" footer="0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categ'!$J$19:$O$19</c:f>
          <c:strCache>
            <c:ptCount val="1"/>
            <c:pt idx="0">
              <c:v>PLAZAS ALOJATIVAS ESTIMADAS  EN ARONA SEGÚN TIPOLOGÍA Y CATEGORÍA (*)</c:v>
            </c:pt>
          </c:strCache>
        </c:strRef>
      </c:tx>
      <c:layout>
        <c:manualLayout>
          <c:xMode val="edge"/>
          <c:yMode val="edge"/>
          <c:x val="0.14827583699292629"/>
          <c:y val="7.6494796624276622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39380241498E-2"/>
          <c:y val="0.29936056069914463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categ'!$K$20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categ'!$J$21:$J$27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categ'!$K$21:$K$27</c:f>
              <c:numCache>
                <c:formatCode>#,##0_)</c:formatCode>
                <c:ptCount val="7"/>
                <c:pt idx="0">
                  <c:v>54367</c:v>
                </c:pt>
                <c:pt idx="1">
                  <c:v>20236</c:v>
                </c:pt>
                <c:pt idx="2">
                  <c:v>2483</c:v>
                </c:pt>
                <c:pt idx="3">
                  <c:v>10523</c:v>
                </c:pt>
                <c:pt idx="4">
                  <c:v>6683</c:v>
                </c:pt>
                <c:pt idx="5">
                  <c:v>547</c:v>
                </c:pt>
                <c:pt idx="6">
                  <c:v>34131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categ'!$M$20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categ'!$J$21:$J$27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categ'!$M$21:$M$27</c:f>
              <c:numCache>
                <c:formatCode>#,##0_)</c:formatCode>
                <c:ptCount val="7"/>
                <c:pt idx="0">
                  <c:v>53044</c:v>
                </c:pt>
                <c:pt idx="1">
                  <c:v>20332</c:v>
                </c:pt>
                <c:pt idx="2">
                  <c:v>2483</c:v>
                </c:pt>
                <c:pt idx="3">
                  <c:v>10650</c:v>
                </c:pt>
                <c:pt idx="4">
                  <c:v>6683</c:v>
                </c:pt>
                <c:pt idx="5">
                  <c:v>516</c:v>
                </c:pt>
                <c:pt idx="6">
                  <c:v>32712</c:v>
                </c:pt>
              </c:numCache>
            </c:numRef>
          </c:val>
        </c:ser>
        <c:dLbls>
          <c:showVal val="1"/>
        </c:dLbls>
        <c:gapWidth val="30"/>
        <c:overlap val="-10"/>
        <c:axId val="217954944"/>
        <c:axId val="217961216"/>
      </c:barChart>
      <c:lineChart>
        <c:grouping val="standard"/>
        <c:ser>
          <c:idx val="1"/>
          <c:order val="2"/>
          <c:tx>
            <c:strRef>
              <c:f>'Oferta Alojat Estim tipol categ'!$O$20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31130036400694E-2"/>
                  <c:y val="-0.3500154294343845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33572233691458E-2"/>
                  <c:y val="-2.3990115452222051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70711812639639E-2"/>
                  <c:y val="0.1027202836224367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83555467572705E-2"/>
                  <c:y val="7.1595913278386158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84059259139562E-2"/>
                  <c:y val="7.0049328675474781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384E-2"/>
                  <c:y val="-0.1107639193372838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662144527983293E-2"/>
                  <c:y val="-0.2972416055229182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categ'!$O$21:$O$27</c:f>
              <c:numCache>
                <c:formatCode>0.00%</c:formatCode>
                <c:ptCount val="7"/>
                <c:pt idx="0">
                  <c:v>-2.4334614747916934E-2</c:v>
                </c:pt>
                <c:pt idx="1">
                  <c:v>4.7440205574224154E-3</c:v>
                </c:pt>
                <c:pt idx="2">
                  <c:v>0</c:v>
                </c:pt>
                <c:pt idx="3">
                  <c:v>1.2068801672526846E-2</c:v>
                </c:pt>
                <c:pt idx="4">
                  <c:v>0</c:v>
                </c:pt>
                <c:pt idx="5">
                  <c:v>-5.6672760511882997E-2</c:v>
                </c:pt>
                <c:pt idx="6">
                  <c:v>-4.1575107673376112E-2</c:v>
                </c:pt>
              </c:numCache>
            </c:numRef>
          </c:val>
        </c:ser>
        <c:dLbls>
          <c:showVal val="1"/>
        </c:dLbls>
        <c:marker val="1"/>
        <c:axId val="217962752"/>
        <c:axId val="217985024"/>
      </c:lineChart>
      <c:catAx>
        <c:axId val="2179549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7961216"/>
        <c:crosses val="autoZero"/>
        <c:auto val="1"/>
        <c:lblAlgn val="ctr"/>
        <c:lblOffset val="100"/>
        <c:tickLblSkip val="1"/>
        <c:tickMarkSkip val="1"/>
      </c:catAx>
      <c:valAx>
        <c:axId val="21796121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17954944"/>
        <c:crosses val="autoZero"/>
        <c:crossBetween val="between"/>
      </c:valAx>
      <c:catAx>
        <c:axId val="217962752"/>
        <c:scaling>
          <c:orientation val="minMax"/>
        </c:scaling>
        <c:delete val="1"/>
        <c:axPos val="b"/>
        <c:tickLblPos val="none"/>
        <c:crossAx val="217985024"/>
        <c:crosses val="autoZero"/>
        <c:auto val="1"/>
        <c:lblAlgn val="ctr"/>
        <c:lblOffset val="100"/>
      </c:catAx>
      <c:valAx>
        <c:axId val="217985024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2179627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418748964742718"/>
          <c:y val="0.15489210167709064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44" r="0.75000000000000944" t="1" header="0" footer="0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categ'!$C$31:$H$31</c:f>
          <c:strCache>
            <c:ptCount val="1"/>
            <c:pt idx="0">
              <c:v>PLAZAS ALOJATIVAS ESTIMADAS EN PUERTO DE LA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689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2866451820105413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categ'!$D$32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categ'!$C$33:$C$38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categ'!$D$33:$D$38</c:f>
              <c:numCache>
                <c:formatCode>#,##0_)</c:formatCode>
                <c:ptCount val="6"/>
                <c:pt idx="0">
                  <c:v>28846</c:v>
                </c:pt>
                <c:pt idx="1">
                  <c:v>16831</c:v>
                </c:pt>
                <c:pt idx="2">
                  <c:v>13239</c:v>
                </c:pt>
                <c:pt idx="3">
                  <c:v>3219</c:v>
                </c:pt>
                <c:pt idx="4">
                  <c:v>373</c:v>
                </c:pt>
                <c:pt idx="5">
                  <c:v>12015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categ'!$F$32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categ'!$C$33:$C$38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categ'!$F$33:$F$38</c:f>
              <c:numCache>
                <c:formatCode>#,##0_)</c:formatCode>
                <c:ptCount val="6"/>
                <c:pt idx="0">
                  <c:v>27225</c:v>
                </c:pt>
                <c:pt idx="1">
                  <c:v>16442</c:v>
                </c:pt>
                <c:pt idx="2">
                  <c:v>12955</c:v>
                </c:pt>
                <c:pt idx="3">
                  <c:v>3114</c:v>
                </c:pt>
                <c:pt idx="4">
                  <c:v>373</c:v>
                </c:pt>
                <c:pt idx="5">
                  <c:v>10783</c:v>
                </c:pt>
              </c:numCache>
            </c:numRef>
          </c:val>
        </c:ser>
        <c:dLbls>
          <c:showVal val="1"/>
        </c:dLbls>
        <c:gapWidth val="30"/>
        <c:overlap val="-10"/>
        <c:axId val="218048768"/>
        <c:axId val="218059136"/>
      </c:barChart>
      <c:lineChart>
        <c:grouping val="standard"/>
        <c:ser>
          <c:idx val="1"/>
          <c:order val="2"/>
          <c:tx>
            <c:strRef>
              <c:f>'Oferta Alojat Estim tipol categ'!$H$32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86061039893E-2"/>
                  <c:y val="-0.2991627067024791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118E-2"/>
                  <c:y val="-8.9677463786414752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61E-2"/>
                  <c:y val="-3.1197018740004485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6077308518402E-2"/>
                  <c:y val="5.381725243528233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73462614693827E-2"/>
                  <c:y val="0.2239740440608189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741003448949103E-2"/>
                  <c:y val="-0.2767760152429931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740939586672E-2"/>
                  <c:y val="-9.045512594507811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categ'!$H$33:$H$38</c:f>
              <c:numCache>
                <c:formatCode>0.00%</c:formatCode>
                <c:ptCount val="6"/>
                <c:pt idx="0">
                  <c:v>-5.6194966373153993E-2</c:v>
                </c:pt>
                <c:pt idx="1">
                  <c:v>-2.3112114550531755E-2</c:v>
                </c:pt>
                <c:pt idx="2">
                  <c:v>-2.1451771281818868E-2</c:v>
                </c:pt>
                <c:pt idx="3">
                  <c:v>-3.2618825722273995E-2</c:v>
                </c:pt>
                <c:pt idx="4">
                  <c:v>0</c:v>
                </c:pt>
                <c:pt idx="5">
                  <c:v>-0.10253849354972951</c:v>
                </c:pt>
              </c:numCache>
            </c:numRef>
          </c:val>
        </c:ser>
        <c:dLbls>
          <c:showVal val="1"/>
        </c:dLbls>
        <c:marker val="1"/>
        <c:axId val="218060672"/>
        <c:axId val="218062208"/>
      </c:lineChart>
      <c:catAx>
        <c:axId val="2180487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8059136"/>
        <c:crosses val="autoZero"/>
        <c:auto val="1"/>
        <c:lblAlgn val="ctr"/>
        <c:lblOffset val="100"/>
        <c:tickLblSkip val="1"/>
        <c:tickMarkSkip val="1"/>
      </c:catAx>
      <c:valAx>
        <c:axId val="21805913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18048768"/>
        <c:crosses val="autoZero"/>
        <c:crossBetween val="between"/>
      </c:valAx>
      <c:catAx>
        <c:axId val="218060672"/>
        <c:scaling>
          <c:orientation val="minMax"/>
        </c:scaling>
        <c:delete val="1"/>
        <c:axPos val="b"/>
        <c:tickLblPos val="none"/>
        <c:crossAx val="218062208"/>
        <c:crosses val="autoZero"/>
        <c:auto val="1"/>
        <c:lblAlgn val="ctr"/>
        <c:lblOffset val="100"/>
      </c:catAx>
      <c:valAx>
        <c:axId val="218062208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218060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38572915988781"/>
          <c:y val="0.1322650995156220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44" r="0.75000000000000944" t="1" header="0" footer="0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categ'!$J$31:$O$31</c:f>
          <c:strCache>
            <c:ptCount val="1"/>
            <c:pt idx="0">
              <c:v>PLAZAS ALOJATIVAS ESTIMADAS EN PUERTO DE LA CRUZ SEGÚN TIPOLOGÍA Y CATEGORÍA (*)</c:v>
            </c:pt>
          </c:strCache>
        </c:strRef>
      </c:tx>
      <c:layout>
        <c:manualLayout>
          <c:xMode val="edge"/>
          <c:yMode val="edge"/>
          <c:x val="0.14827583699292637"/>
          <c:y val="7.6494796624276666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39380241519E-2"/>
          <c:y val="0.29936056069914491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categ'!$K$32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categ'!$J$33:$J$38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categ'!$K$33:$K$38</c:f>
              <c:numCache>
                <c:formatCode>#,##0_)</c:formatCode>
                <c:ptCount val="6"/>
                <c:pt idx="0">
                  <c:v>28475</c:v>
                </c:pt>
                <c:pt idx="1">
                  <c:v>17038</c:v>
                </c:pt>
                <c:pt idx="2">
                  <c:v>13551</c:v>
                </c:pt>
                <c:pt idx="3">
                  <c:v>3114</c:v>
                </c:pt>
                <c:pt idx="4">
                  <c:v>373</c:v>
                </c:pt>
                <c:pt idx="5">
                  <c:v>11437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categ'!$M$32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categ'!$J$33:$J$38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categ'!$M$33:$M$38</c:f>
              <c:numCache>
                <c:formatCode>#,##0_)</c:formatCode>
                <c:ptCount val="6"/>
                <c:pt idx="0">
                  <c:v>25676</c:v>
                </c:pt>
                <c:pt idx="1">
                  <c:v>16158</c:v>
                </c:pt>
                <c:pt idx="2">
                  <c:v>12955</c:v>
                </c:pt>
                <c:pt idx="3">
                  <c:v>2830</c:v>
                </c:pt>
                <c:pt idx="4">
                  <c:v>373</c:v>
                </c:pt>
                <c:pt idx="5">
                  <c:v>9518</c:v>
                </c:pt>
              </c:numCache>
            </c:numRef>
          </c:val>
        </c:ser>
        <c:dLbls>
          <c:showVal val="1"/>
        </c:dLbls>
        <c:gapWidth val="30"/>
        <c:overlap val="-10"/>
        <c:axId val="218126208"/>
        <c:axId val="218157056"/>
      </c:barChart>
      <c:lineChart>
        <c:grouping val="standard"/>
        <c:ser>
          <c:idx val="1"/>
          <c:order val="2"/>
          <c:tx>
            <c:strRef>
              <c:f>'Oferta Alojat Estim tipol categ'!$O$32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283464566929137E-2"/>
                  <c:y val="-0.3816471353593786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785906764219887E-2"/>
                  <c:y val="-0.1379622041060806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864121717981797E-2"/>
                  <c:y val="-7.8397305052813643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094055905915814E-2"/>
                  <c:y val="-2.474322963398104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988728320196504E-2"/>
                  <c:y val="0.2203380881883964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384E-2"/>
                  <c:y val="-0.3188564680279973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60980999745467E-2"/>
                  <c:y val="-0.1662203711620991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categ'!$O$33:$O$38</c:f>
              <c:numCache>
                <c:formatCode>0.00%</c:formatCode>
                <c:ptCount val="6"/>
                <c:pt idx="0">
                  <c:v>-9.8296751536435467E-2</c:v>
                </c:pt>
                <c:pt idx="1">
                  <c:v>-5.1649254607348281E-2</c:v>
                </c:pt>
                <c:pt idx="2">
                  <c:v>-4.3981993948786068E-2</c:v>
                </c:pt>
                <c:pt idx="3">
                  <c:v>-9.1201027617212591E-2</c:v>
                </c:pt>
                <c:pt idx="4">
                  <c:v>0</c:v>
                </c:pt>
                <c:pt idx="5">
                  <c:v>-0.16778875579260297</c:v>
                </c:pt>
              </c:numCache>
            </c:numRef>
          </c:val>
        </c:ser>
        <c:dLbls>
          <c:showVal val="1"/>
        </c:dLbls>
        <c:marker val="1"/>
        <c:axId val="218158592"/>
        <c:axId val="218160128"/>
      </c:lineChart>
      <c:catAx>
        <c:axId val="2181262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8157056"/>
        <c:crosses val="autoZero"/>
        <c:auto val="1"/>
        <c:lblAlgn val="ctr"/>
        <c:lblOffset val="100"/>
        <c:tickLblSkip val="1"/>
        <c:tickMarkSkip val="1"/>
      </c:catAx>
      <c:valAx>
        <c:axId val="21815705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18126208"/>
        <c:crosses val="autoZero"/>
        <c:crossBetween val="between"/>
      </c:valAx>
      <c:catAx>
        <c:axId val="218158592"/>
        <c:scaling>
          <c:orientation val="minMax"/>
        </c:scaling>
        <c:delete val="1"/>
        <c:axPos val="b"/>
        <c:tickLblPos val="none"/>
        <c:crossAx val="218160128"/>
        <c:crosses val="autoZero"/>
        <c:auto val="1"/>
        <c:lblAlgn val="ctr"/>
        <c:lblOffset val="100"/>
      </c:catAx>
      <c:valAx>
        <c:axId val="218160128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2181585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418748964742688"/>
          <c:y val="0.1356242730946164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66" r="0.75000000000000966" t="1" header="0" footer="0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categ'!$J$42:$O$42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4827583699292601"/>
          <c:y val="7.6494796624276514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1106281032469784E-2"/>
          <c:y val="0.36479370224195601"/>
          <c:w val="0.87185077750350692"/>
          <c:h val="0.3587517966870865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categ'!$K$43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categ'!$J$8:$J$14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categ'!$K$44:$K$50</c:f>
              <c:numCache>
                <c:formatCode>#,##0_)</c:formatCode>
                <c:ptCount val="7"/>
                <c:pt idx="0">
                  <c:v>2504</c:v>
                </c:pt>
                <c:pt idx="1">
                  <c:v>2504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categ'!$M$43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categ'!$J$8:$J$14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categ'!$M$44:$M$50</c:f>
              <c:numCache>
                <c:formatCode>#,##0_)</c:formatCode>
                <c:ptCount val="7"/>
                <c:pt idx="0">
                  <c:v>1947</c:v>
                </c:pt>
                <c:pt idx="1">
                  <c:v>1947</c:v>
                </c:pt>
                <c:pt idx="2">
                  <c:v>493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218302336"/>
        <c:axId val="218316800"/>
      </c:barChart>
      <c:lineChart>
        <c:grouping val="standard"/>
        <c:ser>
          <c:idx val="1"/>
          <c:order val="2"/>
          <c:tx>
            <c:strRef>
              <c:f>'Oferta Alojat Estim tipol categ'!$O$43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31130036400694E-2"/>
                  <c:y val="-0.2479896979320311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33572233691458E-2"/>
                  <c:y val="-0.2436433612924193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59452656924806E-2"/>
                  <c:y val="-0.2672220251610533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88822452862971E-2"/>
                  <c:y val="0.1486672276082798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831886329755217E-2"/>
                  <c:y val="0.1432670772888739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384E-2"/>
                  <c:y val="0.1936677722657965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609809997454739E-2"/>
                  <c:y val="0.2422575947863382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categ'!$O$44:$O$50</c:f>
              <c:numCache>
                <c:formatCode>0.00%</c:formatCode>
                <c:ptCount val="7"/>
                <c:pt idx="0">
                  <c:v>-0.222444089456869</c:v>
                </c:pt>
                <c:pt idx="1">
                  <c:v>-0.222444089456869</c:v>
                </c:pt>
                <c:pt idx="2">
                  <c:v>-0.53047619047619043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218318336"/>
        <c:axId val="218319872"/>
      </c:lineChart>
      <c:catAx>
        <c:axId val="2183023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8316800"/>
        <c:crosses val="autoZero"/>
        <c:auto val="1"/>
        <c:lblAlgn val="ctr"/>
        <c:lblOffset val="100"/>
        <c:tickLblSkip val="1"/>
        <c:tickMarkSkip val="1"/>
      </c:catAx>
      <c:valAx>
        <c:axId val="21831680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18302336"/>
        <c:crosses val="autoZero"/>
        <c:crossBetween val="between"/>
      </c:valAx>
      <c:catAx>
        <c:axId val="218318336"/>
        <c:scaling>
          <c:orientation val="minMax"/>
        </c:scaling>
        <c:delete val="1"/>
        <c:axPos val="b"/>
        <c:tickLblPos val="none"/>
        <c:crossAx val="218319872"/>
        <c:crosses val="autoZero"/>
        <c:auto val="1"/>
        <c:lblAlgn val="ctr"/>
        <c:lblOffset val="100"/>
      </c:catAx>
      <c:valAx>
        <c:axId val="218319872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218318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31407990368572"/>
          <c:y val="0.13177070737812188"/>
          <c:w val="0.60468794204462761"/>
          <c:h val="6.507337401525466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66" r="0.75000000000000966" t="1" header="0" footer="0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categ'!$C$42:$H$42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733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79664215527E-2"/>
          <c:y val="0.3847016061767789"/>
          <c:w val="0.89642366759940162"/>
          <c:h val="0.32476420039331838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categ'!$D$43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categ'!$C$44:$C$50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categ'!$D$44:$D$50</c:f>
              <c:numCache>
                <c:formatCode>#,##0_)</c:formatCode>
                <c:ptCount val="7"/>
                <c:pt idx="0">
                  <c:v>2531</c:v>
                </c:pt>
                <c:pt idx="1">
                  <c:v>2531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227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categ'!$F$43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categ'!$C$44:$C$50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categ'!$F$44:$F$50</c:f>
              <c:numCache>
                <c:formatCode>#,##0_)</c:formatCode>
                <c:ptCount val="7"/>
                <c:pt idx="0">
                  <c:v>2504</c:v>
                </c:pt>
                <c:pt idx="1">
                  <c:v>2504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218417024"/>
        <c:axId val="218431488"/>
      </c:barChart>
      <c:lineChart>
        <c:grouping val="standard"/>
        <c:ser>
          <c:idx val="1"/>
          <c:order val="2"/>
          <c:tx>
            <c:strRef>
              <c:f>'Oferta Alojat Estim tipol categ'!$H$43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748747315684E-2"/>
                  <c:y val="-0.1553337465469880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118E-2"/>
                  <c:y val="-0.1402119633005058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61E-2"/>
                  <c:y val="3.4886557547653491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914622242493E-2"/>
                  <c:y val="0.1121262903361571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694019652512E-2"/>
                  <c:y val="0.1112432374524612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87746469695E-2"/>
                  <c:y val="-0.105736170733760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4832921194768187E-2"/>
                  <c:y val="0.1972026966017003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categ'!$H$44:$H$50</c:f>
              <c:numCache>
                <c:formatCode>0.00%</c:formatCode>
                <c:ptCount val="7"/>
                <c:pt idx="0">
                  <c:v>-1.066772026866851E-2</c:v>
                </c:pt>
                <c:pt idx="1">
                  <c:v>-1.066772026866851E-2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-0.11894273127753303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218433024"/>
        <c:axId val="218434560"/>
      </c:lineChart>
      <c:catAx>
        <c:axId val="2184170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8431488"/>
        <c:crosses val="autoZero"/>
        <c:auto val="1"/>
        <c:lblAlgn val="ctr"/>
        <c:lblOffset val="100"/>
        <c:tickLblSkip val="1"/>
        <c:tickMarkSkip val="1"/>
      </c:catAx>
      <c:valAx>
        <c:axId val="21843148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18417024"/>
        <c:crosses val="autoZero"/>
        <c:crossBetween val="between"/>
      </c:valAx>
      <c:catAx>
        <c:axId val="218433024"/>
        <c:scaling>
          <c:orientation val="minMax"/>
        </c:scaling>
        <c:delete val="1"/>
        <c:axPos val="b"/>
        <c:tickLblPos val="none"/>
        <c:crossAx val="218434560"/>
        <c:crosses val="autoZero"/>
        <c:auto val="1"/>
        <c:lblAlgn val="ctr"/>
        <c:lblOffset val="100"/>
      </c:catAx>
      <c:valAx>
        <c:axId val="218434560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218433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645"/>
          <c:y val="0.1361523093195436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66" r="0.75000000000000966" t="1" header="0" footer="0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308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894"/>
          <c:w val="0.61919715434631695"/>
          <c:h val="0.782945736434110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categ'!$F$7</c:f>
              <c:strCache>
                <c:ptCount val="1"/>
                <c:pt idx="0">
                  <c:v>I semestre 2010</c:v>
                </c:pt>
              </c:strCache>
            </c:strRef>
          </c:tx>
          <c:dPt>
            <c:idx val="5"/>
            <c:explosion val="3"/>
          </c:dPt>
          <c:dLbls>
            <c:dLbl>
              <c:idx val="0"/>
              <c:layout>
                <c:manualLayout>
                  <c:x val="2.5258030477961699E-3"/>
                  <c:y val="-0.17659573389278663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563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8925E-3"/>
                  <c:y val="-3.987670145882980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8687E-4"/>
                  <c:y val="3.0850271623023957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91335921765"/>
                  <c:y val="-2.752625492908988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categ'!$C$14,'Oferta Alojat Estim tipol categ'!$C$10:$C$13)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categ'!$G$14,'Oferta Alojat Estim tipol categ'!$G$10:$G$13)</c:f>
              <c:numCache>
                <c:formatCode>0.0%</c:formatCode>
                <c:ptCount val="5"/>
                <c:pt idx="0">
                  <c:v>0.48202743181459878</c:v>
                </c:pt>
                <c:pt idx="1">
                  <c:v>7.20163960271165E-2</c:v>
                </c:pt>
                <c:pt idx="2">
                  <c:v>0.34209364653949237</c:v>
                </c:pt>
                <c:pt idx="3">
                  <c:v>9.6452782594986602E-2</c:v>
                </c:pt>
                <c:pt idx="4">
                  <c:v>7.4097430238057697E-3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888" r="0.75000000000000888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325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02"/>
          <c:w val="0.61919715434631695"/>
          <c:h val="0.78294573643411103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categ'!$F$20</c:f>
              <c:strCache>
                <c:ptCount val="1"/>
                <c:pt idx="0">
                  <c:v>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31E-4"/>
                  <c:y val="-0.17659573948605436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585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8955E-3"/>
                  <c:y val="-3.987670145882982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2928496087679E-4"/>
                  <c:y val="0.1066079416034185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4917725405641474"/>
                  <c:y val="1.239889417767071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categ'!$C$27,'Oferta Alojat Estim tipol categ'!$C$23:$C$26)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categ'!$G$27,'Oferta Alojat Estim tipol categ'!$G$23:$G$26)</c:f>
              <c:numCache>
                <c:formatCode>0.0%</c:formatCode>
                <c:ptCount val="5"/>
                <c:pt idx="0">
                  <c:v>0.62077955937948115</c:v>
                </c:pt>
                <c:pt idx="1">
                  <c:v>4.6240944559286366E-2</c:v>
                </c:pt>
                <c:pt idx="2">
                  <c:v>0.19833510251969383</c:v>
                </c:pt>
                <c:pt idx="3">
                  <c:v>0.12445760470789802</c:v>
                </c:pt>
                <c:pt idx="4">
                  <c:v>1.0186788833640614E-2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1" r="0.7500000000000091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325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02"/>
          <c:w val="0.61919715434631695"/>
          <c:h val="0.78294573643411103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categ'!$F$32</c:f>
              <c:strCache>
                <c:ptCount val="1"/>
                <c:pt idx="0">
                  <c:v>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31E-4"/>
                  <c:y val="-0.17659573948605436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43467105471E-3"/>
                  <c:y val="-2.810845505501519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6.618380642561633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0.15956536521017797"/>
                  <c:y val="8.1230637446503499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333752835"/>
                  <c:y val="8.611014260025799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categ'!$C$38,'Oferta Alojat Estim tipol categ'!$C$35:$C$37)</c:f>
              <c:strCache>
                <c:ptCount val="4"/>
                <c:pt idx="0">
                  <c:v>EXTRAHOTELERAS</c:v>
                </c:pt>
                <c:pt idx="1">
                  <c:v>4 y 5 estrellas</c:v>
                </c:pt>
                <c:pt idx="2">
                  <c:v>3 estrellas</c:v>
                </c:pt>
                <c:pt idx="3">
                  <c:v>1 Y 2 estrellas</c:v>
                </c:pt>
              </c:strCache>
            </c:strRef>
          </c:cat>
          <c:val>
            <c:numRef>
              <c:f>('Oferta Alojat Estim tipol categ'!$G$38,'Oferta Alojat Estim tipol categ'!$G$35:$G$37)</c:f>
              <c:numCache>
                <c:formatCode>0.0%</c:formatCode>
                <c:ptCount val="4"/>
                <c:pt idx="0">
                  <c:v>0.39606978879706151</c:v>
                </c:pt>
                <c:pt idx="1">
                  <c:v>0.47584940312213042</c:v>
                </c:pt>
                <c:pt idx="2">
                  <c:v>0.11438016528925619</c:v>
                </c:pt>
                <c:pt idx="3">
                  <c:v>1.3700642791551882E-2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3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1" r="0.7500000000000091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325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view3D>
      <c:rotX val="40"/>
      <c:rotY val="220"/>
      <c:perspective val="100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2429364671124671"/>
          <c:y val="0.21703657153321748"/>
          <c:w val="0.61919715434631695"/>
          <c:h val="0.78294573643411103"/>
        </c:manualLayout>
      </c:layout>
      <c:pie3DChart>
        <c:varyColors val="1"/>
        <c:ser>
          <c:idx val="0"/>
          <c:order val="0"/>
          <c:tx>
            <c:strRef>
              <c:f>'Oferta Alojat Estim tipol categ'!$F$43</c:f>
              <c:strCache>
                <c:ptCount val="1"/>
                <c:pt idx="0">
                  <c:v>I semestre 2010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7.1296992398563283E-2"/>
                  <c:y val="-2.3532576811195662E-3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6.7135150819715383E-2"/>
                  <c:y val="-2.059980332850254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-2.6813859322861042E-2"/>
                  <c:y val="8.174006255668796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-7.711875211578452E-2"/>
                  <c:y val="-3.230107143315184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8763E-4"/>
                  <c:y val="3.085027162302398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5202025787"/>
                  <c:y val="-7.093450527986321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'Oferta Alojat Estim tipol categ'!$C$46:$C$49</c:f>
              <c:strCache>
                <c:ptCount val="4"/>
                <c:pt idx="0">
                  <c:v>4 y 5 estrellas</c:v>
                </c:pt>
                <c:pt idx="1">
                  <c:v>3 estrellas</c:v>
                </c:pt>
                <c:pt idx="2">
                  <c:v>2 estrellas</c:v>
                </c:pt>
                <c:pt idx="3">
                  <c:v>1 estrellas</c:v>
                </c:pt>
              </c:strCache>
            </c:strRef>
          </c:cat>
          <c:val>
            <c:numRef>
              <c:f>'Oferta Alojat Estim tipol categ'!$G$46:$G$49</c:f>
              <c:numCache>
                <c:formatCode>0.0%</c:formatCode>
                <c:ptCount val="4"/>
                <c:pt idx="0">
                  <c:v>0.41932907348242809</c:v>
                </c:pt>
                <c:pt idx="1">
                  <c:v>0.23162939297124602</c:v>
                </c:pt>
                <c:pt idx="2">
                  <c:v>0.26916932907348246</c:v>
                </c:pt>
                <c:pt idx="3">
                  <c:v>7.9872204472843447E-2</c:v>
                </c:pt>
              </c:numCache>
            </c:numRef>
          </c:val>
        </c:ser>
        <c:dLbls>
          <c:showVal val="1"/>
        </c:dLbls>
      </c:pie3DChart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1" r="0.7500000000000091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6475900282579619"/>
          <c:y val="0.1590909090909095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2.6472782856166048E-2"/>
              <c:y val="1.2938306954054936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2.7902776520751085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2.8097062579821301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3773E-3"/>
            </c:manualLayout>
          </c:layout>
          <c:showLegendKey val="1"/>
          <c:showPercent val="1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6"/>
        <c:dLbl>
          <c:idx val="0"/>
          <c:layout>
            <c:manualLayout>
              <c:x val="2.6472782856166048E-2"/>
              <c:y val="1.2938306954054936E-2"/>
            </c:manualLayout>
          </c:layout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2.7902776520751085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2.8097062579821301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3773E-3"/>
            </c:manualLayout>
          </c:layout>
          <c:showLegendKey val="1"/>
          <c:showPercent val="1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2.6472782856166048E-2"/>
              <c:y val="1.2938306954054936E-2"/>
            </c:manualLayout>
          </c:layout>
          <c:showLegendKey val="1"/>
          <c:showPercent val="1"/>
          <c:separator>
</c:separator>
        </c:dLbl>
      </c:pivotFmt>
      <c:pivotFmt>
        <c:idx val="12"/>
        <c:dLbl>
          <c:idx val="0"/>
          <c:layout>
            <c:manualLayout>
              <c:x val="2.7902776520751085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2.8097062579821301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3773E-3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9326334208223972E-2"/>
          <c:y val="0.23902754579919941"/>
          <c:w val="0.79090033286069161"/>
          <c:h val="0.63083591823749563"/>
        </c:manualLayout>
      </c:layout>
      <c:ofPieChart>
        <c:ofPieType val="bar"/>
        <c:varyColors val="1"/>
        <c:ser>
          <c:idx val="0"/>
          <c:order val="0"/>
          <c:tx>
            <c:v>2009</c:v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1"/>
              <c:layout>
                <c:manualLayout>
                  <c:x val="2.6472782856166048E-2"/>
                  <c:y val="1.2938306954054936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2.7902776520751085E-2"/>
                  <c:y val="8.303215885893053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2.8097062579821301E-2"/>
                  <c:y val="1.6835016835016835E-2"/>
                </c:manualLayout>
              </c:layout>
              <c:showLegendKey val="1"/>
              <c:showPercent val="1"/>
              <c:separator>
</c:separator>
            </c:dLbl>
            <c:dLbl>
              <c:idx val="4"/>
              <c:layout>
                <c:manualLayout>
                  <c:x val="3.0651340996168612E-2"/>
                  <c:y val="-3.3670033670033773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Lit>
              <c:ptCount val="5"/>
              <c:pt idx="0">
                <c:v>Extrahoteleros</c:v>
              </c:pt>
              <c:pt idx="1">
                <c:v>1* y 2 *</c:v>
              </c:pt>
              <c:pt idx="2">
                <c:v>3 *</c:v>
              </c:pt>
              <c:pt idx="3">
                <c:v>4 *</c:v>
              </c:pt>
              <c:pt idx="4">
                <c:v>5 *</c:v>
              </c:pt>
            </c:strLit>
          </c:cat>
          <c:val>
            <c:numLit>
              <c:formatCode>General</c:formatCode>
              <c:ptCount val="5"/>
              <c:pt idx="0">
                <c:v>596591</c:v>
              </c:pt>
              <c:pt idx="1">
                <c:v>16202</c:v>
              </c:pt>
              <c:pt idx="2">
                <c:v>177921</c:v>
              </c:pt>
              <c:pt idx="3">
                <c:v>712991</c:v>
              </c:pt>
              <c:pt idx="4">
                <c:v>145326</c:v>
              </c:pt>
            </c:numLit>
          </c:val>
        </c:ser>
        <c:gapWidth val="150"/>
        <c:splitType val="pos"/>
        <c:splitPos val="4"/>
        <c:secondPieSize val="75"/>
        <c:serLines/>
      </c:ofPieChart>
      <c:spPr>
        <a:noFill/>
      </c:spPr>
    </c:plotArea>
    <c:plotVisOnly val="1"/>
  </c:chart>
  <c:spPr>
    <a:noFill/>
    <a:ln>
      <a:noFill/>
    </a:ln>
  </c:spPr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325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02"/>
          <c:w val="0.61919715434631695"/>
          <c:h val="0.78294573643411103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categ'!$M$7</c:f>
              <c:strCache>
                <c:ptCount val="1"/>
                <c:pt idx="0">
                  <c:v>II semestre 2010</c:v>
                </c:pt>
              </c:strCache>
            </c:strRef>
          </c:tx>
          <c:dPt>
            <c:idx val="5"/>
            <c:explosion val="3"/>
          </c:dPt>
          <c:dLbls>
            <c:dLbl>
              <c:idx val="0"/>
              <c:layout>
                <c:manualLayout>
                  <c:x val="2.5258030477961712E-3"/>
                  <c:y val="-0.17659573389278674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585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8955E-3"/>
                  <c:y val="-3.987670145882982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8763E-4"/>
                  <c:y val="3.085027162302398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91335921765"/>
                  <c:y val="-2.752625492908988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categ'!$J$14,'Oferta Alojat Estim tipol categ'!$J$10:$J$13)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categ'!$N$14,'Oferta Alojat Estim tipol categ'!$N$10:$N$13)</c:f>
              <c:numCache>
                <c:formatCode>0.0%</c:formatCode>
                <c:ptCount val="5"/>
                <c:pt idx="0">
                  <c:v>0.47666454284804077</c:v>
                </c:pt>
                <c:pt idx="1">
                  <c:v>7.2762026122969101E-2</c:v>
                </c:pt>
                <c:pt idx="2">
                  <c:v>0.34563555272379737</c:v>
                </c:pt>
                <c:pt idx="3">
                  <c:v>9.7451417648932781E-2</c:v>
                </c:pt>
                <c:pt idx="4">
                  <c:v>7.4864606562599556E-3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1" r="0.7500000000000091" t="1" header="0" footer="0"/>
    <c:pageSetup paperSize="9"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341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14"/>
          <c:w val="0.61919715434631695"/>
          <c:h val="0.782945736434111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categ'!$M$20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4E-4"/>
                  <c:y val="-0.1765957394860544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02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8985E-3"/>
                  <c:y val="-3.987670145882984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2928496087722E-4"/>
                  <c:y val="0.1066079416034185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4917725405641474"/>
                  <c:y val="1.239889417767071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categ'!$J$27,'Oferta Alojat Estim tipol categ'!$J$23:$J$26)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categ'!$M$27,'Oferta Alojat Estim tipol categ'!$M$23:$M$26)</c:f>
              <c:numCache>
                <c:formatCode>#,##0_)</c:formatCode>
                <c:ptCount val="5"/>
                <c:pt idx="0">
                  <c:v>32712</c:v>
                </c:pt>
                <c:pt idx="1">
                  <c:v>2483</c:v>
                </c:pt>
                <c:pt idx="2">
                  <c:v>10650</c:v>
                </c:pt>
                <c:pt idx="3">
                  <c:v>6683</c:v>
                </c:pt>
                <c:pt idx="4">
                  <c:v>516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33" r="0.75000000000000933" t="1" header="0" footer="0"/>
    <c:pageSetup paperSize="9" orientation="landscape"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341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14"/>
          <c:w val="0.61919715434631695"/>
          <c:h val="0.782945736434111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categ'!$M$32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4E-4"/>
                  <c:y val="-0.17659573948605442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43467105471E-3"/>
                  <c:y val="-2.810845505501519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6.618380642561633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0.15956536521017803"/>
                  <c:y val="8.1230637446503499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333752835"/>
                  <c:y val="8.611014260025799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categ'!$J$38,'Oferta Alojat Estim tipol categ'!$J$35:$J$37)</c:f>
              <c:strCache>
                <c:ptCount val="4"/>
                <c:pt idx="0">
                  <c:v>EXTRAHOTELERAS</c:v>
                </c:pt>
                <c:pt idx="1">
                  <c:v>4 y 5 estrellas</c:v>
                </c:pt>
                <c:pt idx="2">
                  <c:v>3 estrellas</c:v>
                </c:pt>
                <c:pt idx="3">
                  <c:v>1 Y 2 estrellas</c:v>
                </c:pt>
              </c:strCache>
            </c:strRef>
          </c:cat>
          <c:val>
            <c:numRef>
              <c:f>('Oferta Alojat Estim tipol categ'!$N$38,'Oferta Alojat Estim tipol categ'!$N$35:$N$37)</c:f>
              <c:numCache>
                <c:formatCode>0.0%</c:formatCode>
                <c:ptCount val="4"/>
                <c:pt idx="0">
                  <c:v>0.3706963701511139</c:v>
                </c:pt>
                <c:pt idx="1">
                  <c:v>0.50455678454587938</c:v>
                </c:pt>
                <c:pt idx="2">
                  <c:v>0.11021966038323726</c:v>
                </c:pt>
                <c:pt idx="3">
                  <c:v>1.4527184919769435E-2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3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33" r="0.75000000000000933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341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view3D>
      <c:rotX val="40"/>
      <c:rotY val="220"/>
      <c:perspective val="100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2429364671124671"/>
          <c:y val="0.21703657153321748"/>
          <c:w val="0.61919715434631695"/>
          <c:h val="0.78294573643411147"/>
        </c:manualLayout>
      </c:layout>
      <c:pie3DChart>
        <c:varyColors val="1"/>
        <c:ser>
          <c:idx val="0"/>
          <c:order val="0"/>
          <c:tx>
            <c:strRef>
              <c:f>'Oferta Alojat Estim tipol categ'!$M$43</c:f>
              <c:strCache>
                <c:ptCount val="1"/>
                <c:pt idx="0">
                  <c:v>II semestre 2010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7.1296992398563283E-2"/>
                  <c:y val="-2.3532576811195662E-3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0.19754546701898359"/>
                  <c:y val="5.150653722796911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-2.6813859322861042E-2"/>
                  <c:y val="8.174006255668803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-7.711875211578452E-2"/>
                  <c:y val="-3.230107143315184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8839E-4"/>
                  <c:y val="3.0850271623023999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5202025787"/>
                  <c:y val="-7.093450527986321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'Oferta Alojat Estim tipol categ'!$J$46:$J$49</c:f>
              <c:strCache>
                <c:ptCount val="4"/>
                <c:pt idx="0">
                  <c:v>4 y 5 estrellas</c:v>
                </c:pt>
                <c:pt idx="1">
                  <c:v>3 estrellas</c:v>
                </c:pt>
                <c:pt idx="2">
                  <c:v>2 estrellas</c:v>
                </c:pt>
                <c:pt idx="3">
                  <c:v>1 estrellas</c:v>
                </c:pt>
              </c:strCache>
            </c:strRef>
          </c:cat>
          <c:val>
            <c:numRef>
              <c:f>'Oferta Alojat Estim tipol categ'!$N$46:$N$49</c:f>
              <c:numCache>
                <c:formatCode>0.0%</c:formatCode>
                <c:ptCount val="4"/>
                <c:pt idx="0">
                  <c:v>0.25321006676938879</c:v>
                </c:pt>
                <c:pt idx="1">
                  <c:v>0.29789419619928093</c:v>
                </c:pt>
                <c:pt idx="2">
                  <c:v>0.34617360041088857</c:v>
                </c:pt>
                <c:pt idx="3">
                  <c:v>0.1027221366204417</c:v>
                </c:pt>
              </c:numCache>
            </c:numRef>
          </c:val>
        </c:ser>
        <c:dLbls>
          <c:showVal val="1"/>
        </c:dLbls>
      </c:pie3DChart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33" r="0.75000000000000933" t="1" header="0" footer="0"/>
    <c:pageSetup paperSize="9" orientation="landscape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'Plazas Autorizadas tipología'!$D$5</c:f>
          <c:strCache>
            <c:ptCount val="1"/>
            <c:pt idx="0">
              <c:v>julio 2010</c:v>
            </c:pt>
          </c:strCache>
        </c:strRef>
      </c:tx>
      <c:layout>
        <c:manualLayout>
          <c:xMode val="edge"/>
          <c:yMode val="edge"/>
          <c:x val="0.42716219158051272"/>
          <c:y val="8.9101060300689858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5383411580594724E-2"/>
          <c:y val="0.19805058458601771"/>
          <c:w val="0.94209846638190065"/>
          <c:h val="0.45973277206697616"/>
        </c:manualLayout>
      </c:layout>
      <c:barChart>
        <c:barDir val="col"/>
        <c:grouping val="clustered"/>
        <c:ser>
          <c:idx val="3"/>
          <c:order val="0"/>
          <c:tx>
            <c:strRef>
              <c:f>'Plazas Autorizadas tipología'!$C$5:$H$5</c:f>
              <c:strCache>
                <c:ptCount val="1"/>
                <c:pt idx="0">
                  <c:v>PLAZAS TURISTICAS AUTORIZADAS* SEGÚN TIPOLOGÍA DEL ESTABLECIMIENTO.
Municipios e Isla julio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'Plazas Autorizadas tipología'!$D$6:$H$6</c:f>
              <c:strCache>
                <c:ptCount val="5"/>
                <c:pt idx="0">
                  <c:v>TOTAL PLAZAS</c:v>
                </c:pt>
                <c:pt idx="1">
                  <c:v>HOTELEROS</c:v>
                </c:pt>
                <c:pt idx="2">
                  <c:v>EXTRAHOTELEROS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'Plazas Autorizadas tipología'!$D$38:$H$38</c:f>
              <c:numCache>
                <c:formatCode>#,##0_)</c:formatCode>
                <c:ptCount val="5"/>
                <c:pt idx="0">
                  <c:v>134373</c:v>
                </c:pt>
                <c:pt idx="1">
                  <c:v>81957</c:v>
                </c:pt>
                <c:pt idx="2">
                  <c:v>51167</c:v>
                </c:pt>
                <c:pt idx="3">
                  <c:v>473</c:v>
                </c:pt>
                <c:pt idx="4">
                  <c:v>776</c:v>
                </c:pt>
              </c:numCache>
            </c:numRef>
          </c:val>
        </c:ser>
        <c:dLbls>
          <c:showVal val="1"/>
        </c:dLbls>
        <c:gapWidth val="90"/>
        <c:overlap val="-30"/>
        <c:axId val="216812928"/>
        <c:axId val="216839680"/>
      </c:barChart>
      <c:catAx>
        <c:axId val="2168129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6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*Solo incluye plazas autorizadas
FUENTE: Policía Turística.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49452269170842E-3"/>
              <c:y val="0.933333333333333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6839680"/>
        <c:crosses val="autoZero"/>
        <c:auto val="1"/>
        <c:lblAlgn val="ctr"/>
        <c:lblOffset val="100"/>
        <c:tickLblSkip val="1"/>
        <c:tickMarkSkip val="1"/>
      </c:catAx>
      <c:valAx>
        <c:axId val="216839680"/>
        <c:scaling>
          <c:orientation val="minMax"/>
          <c:min val="0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16812928"/>
        <c:crosses val="autoZero"/>
        <c:crossBetween val="between"/>
        <c:majorUnit val="10000"/>
        <c:minorUnit val="2000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888" r="0.75000000000000888" t="1" header="0" footer="0"/>
    <c:pageSetup paperSize="9" orientation="landscape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03_04-05'!$C$6:$E$6</c:f>
          <c:strCache>
            <c:ptCount val="1"/>
            <c:pt idx="0">
              <c:v>DISTRIBUCIÓN DE LAS PLAZAS TURÍSTICAS AUTORIZADAS EN ADEJE SEGÚN TIPOLOGÍA Y CATEGORÍA </c:v>
            </c:pt>
          </c:strCache>
        </c:strRef>
      </c:tx>
      <c:layout>
        <c:manualLayout>
          <c:xMode val="edge"/>
          <c:yMode val="edge"/>
          <c:x val="0.15757328871965121"/>
          <c:y val="2.6598117047933457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743"/>
          <c:w val="0.88571501256814311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03_04-05'!$D$7</c:f>
              <c:strCache>
                <c:ptCount val="1"/>
                <c:pt idx="0">
                  <c:v>julio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5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355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7571E-17"/>
                  <c:y val="-1.3745704467354165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65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03_04-05'!$C$9,'Distrib Plazas Autor 03_04-05'!$C$16,'Distrib Plazas Autor 03_04-05'!$C$23,'Distrib Plazas Autor 03_04-05'!$C$27)</c:f>
              <c:strCache>
                <c:ptCount val="4"/>
                <c:pt idx="0">
                  <c:v>Hoteleras</c:v>
                </c:pt>
                <c:pt idx="1">
                  <c:v>Extrahoteleras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('Distrib Plazas Autor 03_04-05'!$E$9,'Distrib Plazas Autor 03_04-05'!$E$16,'Distrib Plazas Autor 03_04-05'!$E$23,'Distrib Plazas Autor 03_04-05'!$E$27)</c:f>
              <c:numCache>
                <c:formatCode>0.0%</c:formatCode>
                <c:ptCount val="4"/>
                <c:pt idx="0">
                  <c:v>0.71499852002198827</c:v>
                </c:pt>
                <c:pt idx="1">
                  <c:v>0.28424034842910906</c:v>
                </c:pt>
                <c:pt idx="2">
                  <c:v>4.6513594655165123E-4</c:v>
                </c:pt>
                <c:pt idx="3">
                  <c:v>2.9599560235105078E-4</c:v>
                </c:pt>
              </c:numCache>
            </c:numRef>
          </c:val>
        </c:ser>
        <c:dLbls>
          <c:showVal val="1"/>
        </c:dLbls>
        <c:gapWidth val="90"/>
        <c:overlap val="-30"/>
        <c:axId val="220214016"/>
        <c:axId val="220215936"/>
      </c:barChart>
      <c:catAx>
        <c:axId val="2202140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5996E-3"/>
              <c:y val="0.9312725600021540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0215936"/>
        <c:crosses val="autoZero"/>
        <c:auto val="1"/>
        <c:lblAlgn val="ctr"/>
        <c:lblOffset val="100"/>
        <c:tickLblSkip val="1"/>
        <c:tickMarkSkip val="1"/>
      </c:catAx>
      <c:valAx>
        <c:axId val="220215936"/>
        <c:scaling>
          <c:orientation val="minMax"/>
        </c:scaling>
        <c:delete val="1"/>
        <c:axPos val="l"/>
        <c:numFmt formatCode="0.0%" sourceLinked="1"/>
        <c:tickLblPos val="none"/>
        <c:crossAx val="2202140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265371083933658"/>
          <c:y val="0.19289648305120247"/>
          <c:w val="0.33109278987186436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888" r="0.75000000000000888" t="1" header="0" footer="0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03_04-05'!$G$6:$I$6</c:f>
          <c:strCache>
            <c:ptCount val="1"/>
            <c:pt idx="0">
              <c:v>DISTRIBUCIÓN DE LAS PLAZAS TURÍSTICAS AUTORIZADAS EN ARONA SEGÚN TIPOLOGÍA Y CATEGORÍA </c:v>
            </c:pt>
          </c:strCache>
        </c:strRef>
      </c:tx>
      <c:layout>
        <c:manualLayout>
          <c:xMode val="edge"/>
          <c:yMode val="edge"/>
          <c:x val="0.16687509381951168"/>
          <c:y val="2.6407741977038224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766"/>
          <c:w val="0.88571501256814356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03_04-05'!$H$7</c:f>
              <c:strCache>
                <c:ptCount val="1"/>
                <c:pt idx="0">
                  <c:v>julio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518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399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7707E-17"/>
                  <c:y val="-1.3745704467354168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68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03_04-05'!$G$9,'Distrib Plazas Autor 03_04-05'!$G$16,'Distrib Plazas Autor 03_04-05'!$G$23,'Distrib Plazas Autor 03_04-05'!$G$27)</c:f>
              <c:strCache>
                <c:ptCount val="4"/>
                <c:pt idx="0">
                  <c:v>Hoteleras</c:v>
                </c:pt>
                <c:pt idx="1">
                  <c:v>Extrahoteleras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('Distrib Plazas Autor 03_04-05'!$I$9,'Distrib Plazas Autor 03_04-05'!$I$16,'Distrib Plazas Autor 03_04-05'!$I$23,'Distrib Plazas Autor 03_04-05'!$I$27)</c:f>
              <c:numCache>
                <c:formatCode>0.0%</c:formatCode>
                <c:ptCount val="4"/>
                <c:pt idx="0">
                  <c:v>0.41962142080921933</c:v>
                </c:pt>
                <c:pt idx="1">
                  <c:v>0.57987313300816301</c:v>
                </c:pt>
                <c:pt idx="2">
                  <c:v>0</c:v>
                </c:pt>
                <c:pt idx="3">
                  <c:v>5.0544618261770579E-4</c:v>
                </c:pt>
              </c:numCache>
            </c:numRef>
          </c:val>
        </c:ser>
        <c:dLbls>
          <c:showVal val="1"/>
        </c:dLbls>
        <c:gapWidth val="90"/>
        <c:overlap val="-30"/>
        <c:axId val="220253184"/>
        <c:axId val="220263552"/>
      </c:barChart>
      <c:catAx>
        <c:axId val="2202531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06E-3"/>
              <c:y val="0.9312725600021538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0263552"/>
        <c:crosses val="autoZero"/>
        <c:auto val="1"/>
        <c:lblAlgn val="ctr"/>
        <c:lblOffset val="100"/>
        <c:tickLblSkip val="1"/>
        <c:tickMarkSkip val="1"/>
      </c:catAx>
      <c:valAx>
        <c:axId val="220263552"/>
        <c:scaling>
          <c:orientation val="minMax"/>
        </c:scaling>
        <c:delete val="1"/>
        <c:axPos val="l"/>
        <c:numFmt formatCode="0.0%" sourceLinked="1"/>
        <c:tickLblPos val="none"/>
        <c:crossAx val="2202531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680854451252538"/>
          <c:y val="0.17917942772490861"/>
          <c:w val="0.33109278987186458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1" r="0.7500000000000091" t="1" header="0" footer="0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03_04-05'!$C$35:$E$35</c:f>
          <c:strCache>
            <c:ptCount val="1"/>
            <c:pt idx="0">
              <c:v>DISTRIBUCIÓN DE LAS PLAZAS TURÍSTICAS AUTORIZADAS EN PUERTO DE LA CRUZ SEGÚN TIPOLOGÍA Y CATEGORÍA </c:v>
            </c:pt>
          </c:strCache>
        </c:strRef>
      </c:tx>
      <c:layout>
        <c:manualLayout>
          <c:xMode val="edge"/>
          <c:yMode val="edge"/>
          <c:x val="0.14117664703676747"/>
          <c:y val="2.649454225946998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766"/>
          <c:w val="0.88571501256814356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03_04-05'!$D$36</c:f>
              <c:strCache>
                <c:ptCount val="1"/>
                <c:pt idx="0">
                  <c:v>julio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518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399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7707E-17"/>
                  <c:y val="-1.3745704467354168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68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03_04-05'!$C$38,'Distrib Plazas Autor 03_04-05'!$C$45,'Distrib Plazas Autor 03_04-05'!$C$56)</c:f>
              <c:strCache>
                <c:ptCount val="3"/>
                <c:pt idx="0">
                  <c:v>Hoteleras</c:v>
                </c:pt>
                <c:pt idx="1">
                  <c:v>Extrahoteleras</c:v>
                </c:pt>
                <c:pt idx="2">
                  <c:v>Casas Rurales</c:v>
                </c:pt>
              </c:strCache>
            </c:strRef>
          </c:cat>
          <c:val>
            <c:numRef>
              <c:f>('Distrib Plazas Autor 03_04-05'!$E$38,'Distrib Plazas Autor 03_04-05'!$E$45,'Distrib Plazas Autor 03_04-05'!$E$56)</c:f>
              <c:numCache>
                <c:formatCode>0.0%</c:formatCode>
                <c:ptCount val="3"/>
                <c:pt idx="0">
                  <c:v>0.70570609692548203</c:v>
                </c:pt>
                <c:pt idx="1">
                  <c:v>0.29429390307451797</c:v>
                </c:pt>
                <c:pt idx="2">
                  <c:v>0</c:v>
                </c:pt>
              </c:numCache>
            </c:numRef>
          </c:val>
        </c:ser>
        <c:dLbls>
          <c:showVal val="1"/>
        </c:dLbls>
        <c:gapWidth val="90"/>
        <c:overlap val="-30"/>
        <c:axId val="220279936"/>
        <c:axId val="220281856"/>
      </c:barChart>
      <c:catAx>
        <c:axId val="2202799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06E-3"/>
              <c:y val="0.9312725600021538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0281856"/>
        <c:crosses val="autoZero"/>
        <c:auto val="1"/>
        <c:lblAlgn val="ctr"/>
        <c:lblOffset val="100"/>
        <c:tickLblSkip val="1"/>
        <c:tickMarkSkip val="1"/>
      </c:catAx>
      <c:valAx>
        <c:axId val="220281856"/>
        <c:scaling>
          <c:orientation val="minMax"/>
        </c:scaling>
        <c:delete val="1"/>
        <c:axPos val="l"/>
        <c:numFmt formatCode="0.0%" sourceLinked="1"/>
        <c:tickLblPos val="none"/>
        <c:crossAx val="2202799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04683821738788"/>
          <c:y val="0.19190661772928963"/>
          <c:w val="0.33109278987186458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1" r="0.7500000000000091" t="1" header="0" footer="0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03_04-05'!$G$35:$I$35</c:f>
          <c:strCache>
            <c:ptCount val="1"/>
            <c:pt idx="0">
              <c:v>DISTRIBUCIÓN DE LAS PLAZAS TURÍSTICAS AUTORIZADAS EN SANTA CRUZ SEGÚN TIPOLOGÍA Y CATEGORÍA </c:v>
            </c:pt>
          </c:strCache>
        </c:strRef>
      </c:tx>
      <c:layout>
        <c:manualLayout>
          <c:xMode val="edge"/>
          <c:yMode val="edge"/>
          <c:x val="0.13221306160259391"/>
          <c:y val="2.649454225946998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766"/>
          <c:w val="0.88571501256814356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03_04-05'!$H$36</c:f>
              <c:strCache>
                <c:ptCount val="1"/>
                <c:pt idx="0">
                  <c:v>julio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518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399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7707E-17"/>
                  <c:y val="-1.3745704467354168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68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03_04-05'!$G$38,'Distrib Plazas Autor 03_04-05'!$G$45,'Distrib Plazas Autor 03_04-05'!$G$56)</c:f>
              <c:strCache>
                <c:ptCount val="3"/>
                <c:pt idx="0">
                  <c:v>Hoteleras</c:v>
                </c:pt>
                <c:pt idx="1">
                  <c:v>Extrahoteleras</c:v>
                </c:pt>
                <c:pt idx="2">
                  <c:v>Casas Rurales</c:v>
                </c:pt>
              </c:strCache>
            </c:strRef>
          </c:cat>
          <c:val>
            <c:numRef>
              <c:f>('Distrib Plazas Autor 03_04-05'!$I$38,'Distrib Plazas Autor 03_04-05'!$I$45,'Distrib Plazas Autor 03_04-05'!$I$56)</c:f>
              <c:numCache>
                <c:formatCode>0.0%</c:formatCode>
                <c:ptCount val="3"/>
                <c:pt idx="0">
                  <c:v>0.99478972832154822</c:v>
                </c:pt>
                <c:pt idx="1">
                  <c:v>2.2329735764793448E-3</c:v>
                </c:pt>
                <c:pt idx="2">
                  <c:v>2.9772981019724602E-3</c:v>
                </c:pt>
              </c:numCache>
            </c:numRef>
          </c:val>
        </c:ser>
        <c:dLbls>
          <c:showVal val="1"/>
        </c:dLbls>
        <c:gapWidth val="90"/>
        <c:overlap val="-30"/>
        <c:axId val="220322816"/>
        <c:axId val="220337280"/>
      </c:barChart>
      <c:catAx>
        <c:axId val="2203228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06E-3"/>
              <c:y val="0.9312725600021538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0337280"/>
        <c:crosses val="autoZero"/>
        <c:auto val="1"/>
        <c:lblAlgn val="ctr"/>
        <c:lblOffset val="100"/>
        <c:tickLblSkip val="1"/>
        <c:tickMarkSkip val="1"/>
      </c:catAx>
      <c:valAx>
        <c:axId val="220337280"/>
        <c:scaling>
          <c:orientation val="minMax"/>
        </c:scaling>
        <c:delete val="1"/>
        <c:axPos val="l"/>
        <c:numFmt formatCode="0.0%" sourceLinked="1"/>
        <c:tickLblPos val="none"/>
        <c:crossAx val="2203228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611553089542611"/>
          <c:y val="0.1778953793566502"/>
          <c:w val="0.33109278987186458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1" r="0.7500000000000091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39164927923309417"/>
          <c:y val="0.14212782861601719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layout>
            <c:manualLayout>
              <c:x val="-0.18833687574698441"/>
              <c:y val="2.2501241398879277E-3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9.5517002806401893E-2"/>
              <c:y val="2.2501241398879277E-3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-3.9752815361817056E-3"/>
              <c:y val="-9.8335816131092189E-3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-6.4489978137802087E-3"/>
              <c:y val="-2.6660424203731201E-2"/>
            </c:manualLayout>
          </c:layout>
          <c:showLegendKey val="1"/>
          <c:showPercent val="1"/>
          <c:separator>
</c:separator>
        </c:dLbl>
      </c:pivotFmt>
      <c:pivotFmt>
        <c:idx val="5"/>
        <c:dLbl>
          <c:idx val="0"/>
          <c:layout>
            <c:manualLayout>
              <c:x val="-3.9752815361817056E-3"/>
              <c:y val="-7.7775413208484205E-3"/>
            </c:manualLayout>
          </c:layout>
          <c:showLegendKey val="1"/>
          <c:showPercent val="1"/>
          <c:separator>
</c:separator>
        </c:dLbl>
      </c:pivotFmt>
      <c:pivotFmt>
        <c:idx val="6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9.5517002806401893E-2"/>
              <c:y val="2.2501241398879277E-3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-3.9752815361817056E-3"/>
              <c:y val="-9.8335816131092189E-3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0"/>
        <c:dLbl>
          <c:idx val="0"/>
          <c:layout>
            <c:manualLayout>
              <c:x val="-6.4489978137802087E-3"/>
              <c:y val="-2.6660424203731201E-2"/>
            </c:manualLayout>
          </c:layout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-3.9752815361817056E-3"/>
              <c:y val="-7.7775413208484205E-3"/>
            </c:manualLayout>
          </c:layout>
          <c:showLegendKey val="1"/>
          <c:showPercent val="1"/>
          <c:separator>
</c:separator>
        </c:dLbl>
      </c:pivotFmt>
      <c:pivotFmt>
        <c:idx val="12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9.5517002806401893E-2"/>
              <c:y val="2.2501241398879277E-3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-3.9752815361817056E-3"/>
              <c:y val="-9.8335816131092189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-6.4489978137802087E-3"/>
              <c:y val="-2.6660424203731201E-2"/>
            </c:manualLayout>
          </c:layout>
          <c:showLegendKey val="1"/>
          <c:showPercent val="1"/>
          <c:separator>
</c:separator>
        </c:dLbl>
      </c:pivotFmt>
      <c:pivotFmt>
        <c:idx val="17"/>
        <c:dLbl>
          <c:idx val="0"/>
          <c:layout>
            <c:manualLayout>
              <c:x val="-3.9752815361817056E-3"/>
              <c:y val="-7.7775413208484205E-3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8.5696265286106452E-2"/>
          <c:y val="0.19083333333333341"/>
          <c:w val="0.73630874153506254"/>
          <c:h val="0.80916666666666659"/>
        </c:manualLayout>
      </c:layout>
      <c:ofPieChart>
        <c:ofPieType val="bar"/>
        <c:varyColors val="1"/>
        <c:ser>
          <c:idx val="0"/>
          <c:order val="0"/>
          <c:tx>
            <c:v>acumulado julio 2010</c:v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9.5517002806401893E-2"/>
                  <c:y val="2.2501241398879277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-3.9752815361817056E-3"/>
                  <c:y val="-9.8335816131092189E-3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-4.9474325551969863E-3"/>
                  <c:y val="6.846846846846846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-6.4489978137802087E-3"/>
                  <c:y val="-2.6660424203731201E-2"/>
                </c:manualLayout>
              </c:layout>
              <c:showLegendKey val="1"/>
              <c:showPercent val="1"/>
              <c:separator>
</c:separator>
            </c:dLbl>
            <c:dLbl>
              <c:idx val="4"/>
              <c:layout>
                <c:manualLayout>
                  <c:x val="-3.9752815361817056E-3"/>
                  <c:y val="-7.7775413208484205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Lit>
              <c:ptCount val="5"/>
              <c:pt idx="0">
                <c:v>Extrahoteleros</c:v>
              </c:pt>
              <c:pt idx="1">
                <c:v>1* y 2 *</c:v>
              </c:pt>
              <c:pt idx="2">
                <c:v>3 *</c:v>
              </c:pt>
              <c:pt idx="3">
                <c:v>4 *</c:v>
              </c:pt>
              <c:pt idx="4">
                <c:v>5 *</c:v>
              </c:pt>
            </c:strLit>
          </c:cat>
          <c:val>
            <c:numLit>
              <c:formatCode>General</c:formatCode>
              <c:ptCount val="5"/>
              <c:pt idx="0">
                <c:v>334560</c:v>
              </c:pt>
              <c:pt idx="1">
                <c:v>9948</c:v>
              </c:pt>
              <c:pt idx="2">
                <c:v>99829</c:v>
              </c:pt>
              <c:pt idx="3">
                <c:v>441530</c:v>
              </c:pt>
              <c:pt idx="4">
                <c:v>92816</c:v>
              </c:pt>
            </c:numLit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18933066228912199"/>
          <c:w val="0.84763751506150764"/>
          <c:h val="0.54324068148725158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merc'!$C$6:$C$17</c:f>
              <c:numCache>
                <c:formatCode>#,##0</c:formatCode>
                <c:ptCount val="12"/>
                <c:pt idx="0">
                  <c:v>147131</c:v>
                </c:pt>
                <c:pt idx="1">
                  <c:v>168254</c:v>
                </c:pt>
                <c:pt idx="2">
                  <c:v>183447</c:v>
                </c:pt>
                <c:pt idx="3">
                  <c:v>154022</c:v>
                </c:pt>
                <c:pt idx="4">
                  <c:v>153505</c:v>
                </c:pt>
                <c:pt idx="5">
                  <c:v>146363</c:v>
                </c:pt>
                <c:pt idx="6">
                  <c:v>161273</c:v>
                </c:pt>
                <c:pt idx="7">
                  <c:v>187998</c:v>
                </c:pt>
                <c:pt idx="8">
                  <c:v>137440</c:v>
                </c:pt>
                <c:pt idx="9">
                  <c:v>160443</c:v>
                </c:pt>
                <c:pt idx="10">
                  <c:v>149092</c:v>
                </c:pt>
                <c:pt idx="11">
                  <c:v>141832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merc'!$D$6:$D$17</c:f>
              <c:numCache>
                <c:formatCode>#,##0</c:formatCode>
                <c:ptCount val="12"/>
                <c:pt idx="0">
                  <c:v>136344</c:v>
                </c:pt>
                <c:pt idx="1">
                  <c:v>133792</c:v>
                </c:pt>
                <c:pt idx="2">
                  <c:v>135071</c:v>
                </c:pt>
                <c:pt idx="3">
                  <c:v>143027</c:v>
                </c:pt>
                <c:pt idx="4">
                  <c:v>123885</c:v>
                </c:pt>
                <c:pt idx="5">
                  <c:v>121387</c:v>
                </c:pt>
                <c:pt idx="6">
                  <c:v>152332</c:v>
                </c:pt>
                <c:pt idx="7">
                  <c:v>170260</c:v>
                </c:pt>
                <c:pt idx="8">
                  <c:v>124595</c:v>
                </c:pt>
                <c:pt idx="9">
                  <c:v>145358</c:v>
                </c:pt>
                <c:pt idx="10">
                  <c:v>130907</c:v>
                </c:pt>
                <c:pt idx="11">
                  <c:v>132073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merc'!$E$6:$E$11,'graficas evol mensual merc'!$E$12)</c:f>
              <c:numCache>
                <c:formatCode>#,##0</c:formatCode>
                <c:ptCount val="7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</c:numCache>
            </c:numRef>
          </c:val>
        </c:ser>
        <c:marker val="1"/>
        <c:axId val="198906240"/>
        <c:axId val="198907776"/>
      </c:lineChart>
      <c:catAx>
        <c:axId val="198906240"/>
        <c:scaling>
          <c:orientation val="minMax"/>
        </c:scaling>
        <c:axPos val="b"/>
        <c:numFmt formatCode="General" sourceLinked="1"/>
        <c:tickLblPos val="nextTo"/>
        <c:crossAx val="198907776"/>
        <c:crosses val="autoZero"/>
        <c:auto val="1"/>
        <c:lblAlgn val="ctr"/>
        <c:lblOffset val="100"/>
      </c:catAx>
      <c:valAx>
        <c:axId val="198907776"/>
        <c:scaling>
          <c:orientation val="minMax"/>
        </c:scaling>
        <c:axPos val="l"/>
        <c:numFmt formatCode="#,##0" sourceLinked="1"/>
        <c:tickLblPos val="nextTo"/>
        <c:crossAx val="198906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5"/>
          <c:y val="0.13663133097762106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211" l="0.70000000000000062" r="0.70000000000000062" t="0.75000000000000211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municipios tur&#237;sticos'!A1"/><Relationship Id="rId1" Type="http://schemas.openxmlformats.org/officeDocument/2006/relationships/chart" Target="../charts/chart36.xml"/><Relationship Id="rId4" Type="http://schemas.openxmlformats.org/officeDocument/2006/relationships/image" Target="../media/image2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40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hyperlink" Target="#'Men&#250; municipios tur&#237;sticos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hyperlink" Target="#'Men&#250; municipios tur&#237;sticos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4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hyperlink" Target="#'Men&#250; municipios tur&#237;sticos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6.xml"/><Relationship Id="rId4" Type="http://schemas.openxmlformats.org/officeDocument/2006/relationships/hyperlink" Target="#'Men&#250; municipios tur&#237;sticos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50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6" Type="http://schemas.openxmlformats.org/officeDocument/2006/relationships/chart" Target="../charts/chart49.xml"/><Relationship Id="rId5" Type="http://schemas.openxmlformats.org/officeDocument/2006/relationships/chart" Target="../charts/chart48.xml"/><Relationship Id="rId4" Type="http://schemas.openxmlformats.org/officeDocument/2006/relationships/hyperlink" Target="#'Men&#250; municipios tur&#237;sticos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hyperlink" Target="#'Men&#250; municipios tur&#237;sticos'!A1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5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6" Type="http://schemas.openxmlformats.org/officeDocument/2006/relationships/chart" Target="../charts/chart54.xml"/><Relationship Id="rId5" Type="http://schemas.openxmlformats.org/officeDocument/2006/relationships/chart" Target="../charts/chart53.xml"/><Relationship Id="rId4" Type="http://schemas.openxmlformats.org/officeDocument/2006/relationships/hyperlink" Target="#'Men&#250; municipios tur&#237;stic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hyperlink" Target="#'Men&#250; zonas y tipolog&#237;a'!A1"/><Relationship Id="rId4" Type="http://schemas.openxmlformats.org/officeDocument/2006/relationships/image" Target="../media/image2.jpe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Oferta Alojativa'!A1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Oferta Alojativa'!A1"/><Relationship Id="rId1" Type="http://schemas.openxmlformats.org/officeDocument/2006/relationships/chart" Target="../charts/chart56.xml"/><Relationship Id="rId5" Type="http://schemas.openxmlformats.org/officeDocument/2006/relationships/chart" Target="../charts/chart57.xml"/><Relationship Id="rId4" Type="http://schemas.openxmlformats.org/officeDocument/2006/relationships/image" Target="../media/image2.jpeg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Oferta Alojativa'!A1"/><Relationship Id="rId4" Type="http://schemas.openxmlformats.org/officeDocument/2006/relationships/hyperlink" Target="#'Men&#250; Oferta Alojativa'!A1"/></Relationships>
</file>

<file path=xl/drawings/_rels/drawing1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3" Type="http://schemas.openxmlformats.org/officeDocument/2006/relationships/hyperlink" Target="#'Men&#250; Principal'!A1"/><Relationship Id="rId7" Type="http://schemas.openxmlformats.org/officeDocument/2006/relationships/chart" Target="../charts/chart61.xml"/><Relationship Id="rId2" Type="http://schemas.openxmlformats.org/officeDocument/2006/relationships/hyperlink" Target="#'Men&#250; Oferta Alojativa'!A1"/><Relationship Id="rId1" Type="http://schemas.openxmlformats.org/officeDocument/2006/relationships/chart" Target="../charts/chart58.xml"/><Relationship Id="rId6" Type="http://schemas.openxmlformats.org/officeDocument/2006/relationships/chart" Target="../charts/chart60.xml"/><Relationship Id="rId11" Type="http://schemas.openxmlformats.org/officeDocument/2006/relationships/chart" Target="../charts/chart65.xml"/><Relationship Id="rId5" Type="http://schemas.openxmlformats.org/officeDocument/2006/relationships/chart" Target="../charts/chart59.xml"/><Relationship Id="rId10" Type="http://schemas.openxmlformats.org/officeDocument/2006/relationships/chart" Target="../charts/chart64.xml"/><Relationship Id="rId4" Type="http://schemas.openxmlformats.org/officeDocument/2006/relationships/image" Target="../media/image2.jpeg"/><Relationship Id="rId9" Type="http://schemas.openxmlformats.org/officeDocument/2006/relationships/chart" Target="../charts/chart63.xml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0.xml"/><Relationship Id="rId3" Type="http://schemas.openxmlformats.org/officeDocument/2006/relationships/hyperlink" Target="#'Men&#250; Principal'!A1"/><Relationship Id="rId7" Type="http://schemas.openxmlformats.org/officeDocument/2006/relationships/chart" Target="../charts/chart69.xml"/><Relationship Id="rId2" Type="http://schemas.openxmlformats.org/officeDocument/2006/relationships/hyperlink" Target="#'Men&#250; Oferta Alojativa'!A1"/><Relationship Id="rId1" Type="http://schemas.openxmlformats.org/officeDocument/2006/relationships/chart" Target="../charts/chart66.xml"/><Relationship Id="rId6" Type="http://schemas.openxmlformats.org/officeDocument/2006/relationships/chart" Target="../charts/chart68.xml"/><Relationship Id="rId11" Type="http://schemas.openxmlformats.org/officeDocument/2006/relationships/chart" Target="../charts/chart73.xml"/><Relationship Id="rId5" Type="http://schemas.openxmlformats.org/officeDocument/2006/relationships/chart" Target="../charts/chart67.xml"/><Relationship Id="rId10" Type="http://schemas.openxmlformats.org/officeDocument/2006/relationships/chart" Target="../charts/chart72.xml"/><Relationship Id="rId4" Type="http://schemas.openxmlformats.org/officeDocument/2006/relationships/image" Target="../media/image2.jpeg"/><Relationship Id="rId9" Type="http://schemas.openxmlformats.org/officeDocument/2006/relationships/chart" Target="../charts/chart71.xml"/></Relationships>
</file>

<file path=xl/drawings/_rels/drawing1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lazas autorizada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lazas autorizadas'!A1"/><Relationship Id="rId1" Type="http://schemas.openxmlformats.org/officeDocument/2006/relationships/chart" Target="../charts/chart74.xml"/><Relationship Id="rId4" Type="http://schemas.openxmlformats.org/officeDocument/2006/relationships/image" Target="../media/image2.jpeg"/></Relationships>
</file>

<file path=xl/drawings/_rels/drawing14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lazas autorizada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lazas autorizada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78.xml"/><Relationship Id="rId2" Type="http://schemas.openxmlformats.org/officeDocument/2006/relationships/hyperlink" Target="#'Men&#250; plazas autorizadas'!A1"/><Relationship Id="rId1" Type="http://schemas.openxmlformats.org/officeDocument/2006/relationships/chart" Target="../charts/chart75.xml"/><Relationship Id="rId6" Type="http://schemas.openxmlformats.org/officeDocument/2006/relationships/chart" Target="../charts/chart77.xml"/><Relationship Id="rId5" Type="http://schemas.openxmlformats.org/officeDocument/2006/relationships/chart" Target="../charts/chart76.xml"/><Relationship Id="rId4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zonas y tipolog&#237;a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zonas y tipolog&#237;a'!A1"/><Relationship Id="rId1" Type="http://schemas.openxmlformats.org/officeDocument/2006/relationships/hyperlink" Target="#'Men&#250; zonas y tipolog&#237;a'!A1"/><Relationship Id="rId4" Type="http://schemas.openxmlformats.org/officeDocument/2006/relationships/image" Target="../media/image2.jpe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4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3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hyperlink" Target="#'Men&#250; zonas y tipolog&#237;a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zonas y tipolog&#237;a'!A1"/><Relationship Id="rId2" Type="http://schemas.openxmlformats.org/officeDocument/2006/relationships/hyperlink" Target="#'Men&#250; zonas y tipolog&#237;a'!A1"/><Relationship Id="rId1" Type="http://schemas.openxmlformats.org/officeDocument/2006/relationships/hyperlink" Target="#'Men&#250; zonas y tipolog&#237;a'!A1"/><Relationship Id="rId5" Type="http://schemas.openxmlformats.org/officeDocument/2006/relationships/image" Target="../media/image2.jpeg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categor&#237;a-tipolog&#237;a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chart" Target="../charts/chart6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chart" Target="../charts/chart7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categor&#237;a-tipolog&#237;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nacionalidades'!A1"/><Relationship Id="rId13" Type="http://schemas.openxmlformats.org/officeDocument/2006/relationships/hyperlink" Target="#'Men&#250; nacionalidades'!A1"/><Relationship Id="rId18" Type="http://schemas.openxmlformats.org/officeDocument/2006/relationships/image" Target="../media/image2.jpeg"/><Relationship Id="rId26" Type="http://schemas.openxmlformats.org/officeDocument/2006/relationships/chart" Target="../charts/chart16.xml"/><Relationship Id="rId3" Type="http://schemas.openxmlformats.org/officeDocument/2006/relationships/hyperlink" Target="#'Men&#250; nacionalidades'!A1"/><Relationship Id="rId21" Type="http://schemas.openxmlformats.org/officeDocument/2006/relationships/chart" Target="../charts/chart11.xml"/><Relationship Id="rId34" Type="http://schemas.openxmlformats.org/officeDocument/2006/relationships/chart" Target="../charts/chart24.xml"/><Relationship Id="rId7" Type="http://schemas.openxmlformats.org/officeDocument/2006/relationships/hyperlink" Target="#'Men&#250; nacionalidades'!A1"/><Relationship Id="rId12" Type="http://schemas.openxmlformats.org/officeDocument/2006/relationships/hyperlink" Target="#'Men&#250; nacionalidades'!A1"/><Relationship Id="rId17" Type="http://schemas.openxmlformats.org/officeDocument/2006/relationships/hyperlink" Target="#'Men&#250; Principal'!A1"/><Relationship Id="rId25" Type="http://schemas.openxmlformats.org/officeDocument/2006/relationships/chart" Target="../charts/chart15.xml"/><Relationship Id="rId33" Type="http://schemas.openxmlformats.org/officeDocument/2006/relationships/chart" Target="../charts/chart23.xml"/><Relationship Id="rId2" Type="http://schemas.openxmlformats.org/officeDocument/2006/relationships/hyperlink" Target="#'Men&#250; nacionalidades'!A1"/><Relationship Id="rId16" Type="http://schemas.openxmlformats.org/officeDocument/2006/relationships/hyperlink" Target="#'Men&#250; nacionalidades'!A1"/><Relationship Id="rId20" Type="http://schemas.openxmlformats.org/officeDocument/2006/relationships/chart" Target="../charts/chart10.xml"/><Relationship Id="rId29" Type="http://schemas.openxmlformats.org/officeDocument/2006/relationships/chart" Target="../charts/chart19.xml"/><Relationship Id="rId1" Type="http://schemas.openxmlformats.org/officeDocument/2006/relationships/hyperlink" Target="#'Men&#250; nacionalidades'!A1"/><Relationship Id="rId6" Type="http://schemas.openxmlformats.org/officeDocument/2006/relationships/hyperlink" Target="#'Men&#250; nacionalidades'!A1"/><Relationship Id="rId11" Type="http://schemas.openxmlformats.org/officeDocument/2006/relationships/hyperlink" Target="#'Men&#250; nacionalidades'!A1"/><Relationship Id="rId24" Type="http://schemas.openxmlformats.org/officeDocument/2006/relationships/chart" Target="../charts/chart14.xml"/><Relationship Id="rId32" Type="http://schemas.openxmlformats.org/officeDocument/2006/relationships/chart" Target="../charts/chart22.xml"/><Relationship Id="rId5" Type="http://schemas.openxmlformats.org/officeDocument/2006/relationships/hyperlink" Target="#'Men&#250; nacionalidades'!A1"/><Relationship Id="rId15" Type="http://schemas.openxmlformats.org/officeDocument/2006/relationships/hyperlink" Target="#'Men&#250; nacionalidades'!A1"/><Relationship Id="rId23" Type="http://schemas.openxmlformats.org/officeDocument/2006/relationships/chart" Target="../charts/chart13.xml"/><Relationship Id="rId28" Type="http://schemas.openxmlformats.org/officeDocument/2006/relationships/chart" Target="../charts/chart18.xml"/><Relationship Id="rId10" Type="http://schemas.openxmlformats.org/officeDocument/2006/relationships/hyperlink" Target="#'Men&#250; nacionalidades'!A1"/><Relationship Id="rId19" Type="http://schemas.openxmlformats.org/officeDocument/2006/relationships/chart" Target="../charts/chart9.xml"/><Relationship Id="rId31" Type="http://schemas.openxmlformats.org/officeDocument/2006/relationships/chart" Target="../charts/chart21.xml"/><Relationship Id="rId4" Type="http://schemas.openxmlformats.org/officeDocument/2006/relationships/hyperlink" Target="#'Men&#250; nacionalidades'!A1"/><Relationship Id="rId9" Type="http://schemas.openxmlformats.org/officeDocument/2006/relationships/hyperlink" Target="#'Men&#250; nacionalidades'!A1"/><Relationship Id="rId14" Type="http://schemas.openxmlformats.org/officeDocument/2006/relationships/hyperlink" Target="#'Men&#250; nacionalidades'!A1"/><Relationship Id="rId22" Type="http://schemas.openxmlformats.org/officeDocument/2006/relationships/chart" Target="../charts/chart12.xml"/><Relationship Id="rId27" Type="http://schemas.openxmlformats.org/officeDocument/2006/relationships/chart" Target="../charts/chart17.xml"/><Relationship Id="rId30" Type="http://schemas.openxmlformats.org/officeDocument/2006/relationships/chart" Target="../charts/chart20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tipolog&#237;a de establecimien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tipolog&#237;a de establecimien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nacionalidades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nacionalidades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4" Type="http://schemas.openxmlformats.org/officeDocument/2006/relationships/chart" Target="../charts/chart25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4" Type="http://schemas.openxmlformats.org/officeDocument/2006/relationships/chart" Target="../charts/chart26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tipolog&#237;a de establecimien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Turismo alojado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7.xml"/><Relationship Id="rId1" Type="http://schemas.openxmlformats.org/officeDocument/2006/relationships/hyperlink" Target="#'Men&#250; Turismo alojado'!A1"/><Relationship Id="rId4" Type="http://schemas.openxmlformats.org/officeDocument/2006/relationships/image" Target="../media/image2.jpe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ernoctaciones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ernoctacion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ernoctacion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tipolog&#237;a de establecimien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ernoctaciones'!A1"/><Relationship Id="rId1" Type="http://schemas.openxmlformats.org/officeDocument/2006/relationships/chart" Target="../charts/chart28.xml"/><Relationship Id="rId4" Type="http://schemas.openxmlformats.org/officeDocument/2006/relationships/image" Target="../media/image2.jpe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ernoctacion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9.xml"/><Relationship Id="rId1" Type="http://schemas.openxmlformats.org/officeDocument/2006/relationships/hyperlink" Target="#'Men&#250; Pernoctaciones'!A1"/><Relationship Id="rId4" Type="http://schemas.openxmlformats.org/officeDocument/2006/relationships/image" Target="../media/image2.jpeg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IO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IO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IO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IO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IO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ipolog&#237;a de establecimien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IO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4" Type="http://schemas.openxmlformats.org/officeDocument/2006/relationships/hyperlink" Target="#'Men&#250; IO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IO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IO'!A1"/><Relationship Id="rId1" Type="http://schemas.openxmlformats.org/officeDocument/2006/relationships/chart" Target="../charts/chart31.xml"/><Relationship Id="rId4" Type="http://schemas.openxmlformats.org/officeDocument/2006/relationships/image" Target="../media/image9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IO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2.xml"/><Relationship Id="rId1" Type="http://schemas.openxmlformats.org/officeDocument/2006/relationships/hyperlink" Target="#'Men&#250; IO'!A1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EM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EM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EM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EM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EM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Relationship Id="rId4" Type="http://schemas.openxmlformats.org/officeDocument/2006/relationships/hyperlink" Target="#'Men&#250; EM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EM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EM'!A1"/><Relationship Id="rId1" Type="http://schemas.openxmlformats.org/officeDocument/2006/relationships/chart" Target="../charts/chart34.xml"/><Relationship Id="rId4" Type="http://schemas.openxmlformats.org/officeDocument/2006/relationships/image" Target="../media/image2.jpe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EM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5.xml"/><Relationship Id="rId1" Type="http://schemas.openxmlformats.org/officeDocument/2006/relationships/hyperlink" Target="#'Men&#250; EM'!A1"/><Relationship Id="rId4" Type="http://schemas.openxmlformats.org/officeDocument/2006/relationships/image" Target="../media/image2.jpe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0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0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0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10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11.emf"/><Relationship Id="rId1" Type="http://schemas.openxmlformats.org/officeDocument/2006/relationships/image" Target="../media/image3.jpeg"/><Relationship Id="rId4" Type="http://schemas.openxmlformats.org/officeDocument/2006/relationships/image" Target="../media/image5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7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7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8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8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9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190500</xdr:colOff>
      <xdr:row>26</xdr:row>
      <xdr:rowOff>0</xdr:rowOff>
    </xdr:from>
    <xdr:to>
      <xdr:col>7</xdr:col>
      <xdr:colOff>552450</xdr:colOff>
      <xdr:row>27</xdr:row>
      <xdr:rowOff>171450</xdr:rowOff>
    </xdr:to>
    <xdr:sp macro="" textlink="">
      <xdr:nvSpPr>
        <xdr:cNvPr id="2" name="AutoShape 10">
          <a:hlinkClick xmlns:r="http://schemas.openxmlformats.org/officeDocument/2006/relationships" r:id="rId1" tooltip="Volver a menú principal"/>
        </xdr:cNvPr>
        <xdr:cNvSpPr>
          <a:spLocks noChangeAspect="1" noChangeArrowheads="1"/>
        </xdr:cNvSpPr>
      </xdr:nvSpPr>
      <xdr:spPr bwMode="auto">
        <a:xfrm rot="10800000">
          <a:off x="9277350" y="5924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11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333375</xdr:colOff>
      <xdr:row>28</xdr:row>
      <xdr:rowOff>161925</xdr:rowOff>
    </xdr:from>
    <xdr:to>
      <xdr:col>7</xdr:col>
      <xdr:colOff>695325</xdr:colOff>
      <xdr:row>29</xdr:row>
      <xdr:rowOff>336550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6791325" y="511492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441325</xdr:colOff>
      <xdr:row>4</xdr:row>
      <xdr:rowOff>15876</xdr:rowOff>
    </xdr:from>
    <xdr:to>
      <xdr:col>9</xdr:col>
      <xdr:colOff>333375</xdr:colOff>
      <xdr:row>28</xdr:row>
      <xdr:rowOff>111126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279400</xdr:colOff>
      <xdr:row>29</xdr:row>
      <xdr:rowOff>171450</xdr:rowOff>
    </xdr:from>
    <xdr:to>
      <xdr:col>9</xdr:col>
      <xdr:colOff>641350</xdr:colOff>
      <xdr:row>30</xdr:row>
      <xdr:rowOff>346075</xdr:rowOff>
    </xdr:to>
    <xdr:sp macro="" textlink="">
      <xdr:nvSpPr>
        <xdr:cNvPr id="3" name="AutoShape 6">
          <a:hlinkClick xmlns:r="http://schemas.openxmlformats.org/officeDocument/2006/relationships" r:id="rId2" tooltip="Volver menú pernoctaciones"/>
        </xdr:cNvPr>
        <xdr:cNvSpPr>
          <a:spLocks noChangeArrowheads="1"/>
        </xdr:cNvSpPr>
      </xdr:nvSpPr>
      <xdr:spPr bwMode="auto">
        <a:xfrm rot="10800000">
          <a:off x="7708900" y="501967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4" name="Picture 7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0.07165</cdr:x>
      <cdr:y>0</cdr:y>
    </cdr:from>
    <cdr:to>
      <cdr:x>0.93925</cdr:x>
      <cdr:y>0.08453</cdr:y>
    </cdr:to>
    <cdr:sp macro="" textlink="'Alojados por municipio'!$B$6:$G$6">
      <cdr:nvSpPr>
        <cdr:cNvPr id="2" name="1 CuadroTexto"/>
        <cdr:cNvSpPr txBox="1"/>
      </cdr:nvSpPr>
      <cdr:spPr>
        <a:xfrm xmlns:a="http://schemas.openxmlformats.org/drawingml/2006/main">
          <a:off x="435868" y="0"/>
          <a:ext cx="5277872" cy="336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C82F83B-DB81-43E0-836D-9244C80BAC24}" type="TxLink">
            <a:rPr lang="es-ES" sz="1600" b="1"/>
            <a:pPr algn="ctr"/>
            <a:t>ALOJADOS POR MUNICIPIO TURÍSTICO Y TIPOLOGÍA DE ESTABLECIMIENTO</a:t>
          </a:fld>
          <a:endParaRPr lang="es-ES" sz="1600" b="1"/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28575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866775</xdr:colOff>
      <xdr:row>17</xdr:row>
      <xdr:rowOff>66675</xdr:rowOff>
    </xdr:from>
    <xdr:to>
      <xdr:col>15</xdr:col>
      <xdr:colOff>342900</xdr:colOff>
      <xdr:row>19</xdr:row>
      <xdr:rowOff>107950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13877925" y="36195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542925</xdr:colOff>
      <xdr:row>16</xdr:row>
      <xdr:rowOff>152400</xdr:rowOff>
    </xdr:from>
    <xdr:to>
      <xdr:col>18</xdr:col>
      <xdr:colOff>142875</xdr:colOff>
      <xdr:row>18</xdr:row>
      <xdr:rowOff>136525</xdr:rowOff>
    </xdr:to>
    <xdr:sp macro="" textlink="">
      <xdr:nvSpPr>
        <xdr:cNvPr id="4" name="AutoShape 6">
          <a:hlinkClick xmlns:r="http://schemas.openxmlformats.org/officeDocument/2006/relationships" r:id="rId4" tooltip="Volver menú pernoctaciones"/>
        </xdr:cNvPr>
        <xdr:cNvSpPr>
          <a:spLocks noChangeArrowheads="1"/>
        </xdr:cNvSpPr>
      </xdr:nvSpPr>
      <xdr:spPr bwMode="auto">
        <a:xfrm rot="10800000">
          <a:off x="14049375" y="305752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0</xdr:colOff>
      <xdr:row>23</xdr:row>
      <xdr:rowOff>0</xdr:rowOff>
    </xdr:from>
    <xdr:to>
      <xdr:col>8</xdr:col>
      <xdr:colOff>3174</xdr:colOff>
      <xdr:row>39</xdr:row>
      <xdr:rowOff>6350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257175</xdr:colOff>
      <xdr:row>29</xdr:row>
      <xdr:rowOff>9525</xdr:rowOff>
    </xdr:from>
    <xdr:to>
      <xdr:col>7</xdr:col>
      <xdr:colOff>619125</xdr:colOff>
      <xdr:row>29</xdr:row>
      <xdr:rowOff>374650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6715125" y="517207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441325</xdr:colOff>
      <xdr:row>4</xdr:row>
      <xdr:rowOff>15876</xdr:rowOff>
    </xdr:from>
    <xdr:to>
      <xdr:col>9</xdr:col>
      <xdr:colOff>333375</xdr:colOff>
      <xdr:row>28</xdr:row>
      <xdr:rowOff>111126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7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228600</xdr:colOff>
      <xdr:row>30</xdr:row>
      <xdr:rowOff>0</xdr:rowOff>
    </xdr:from>
    <xdr:to>
      <xdr:col>9</xdr:col>
      <xdr:colOff>590550</xdr:colOff>
      <xdr:row>30</xdr:row>
      <xdr:rowOff>365125</xdr:rowOff>
    </xdr:to>
    <xdr:sp macro="" textlink="">
      <xdr:nvSpPr>
        <xdr:cNvPr id="4" name="AutoShape 6">
          <a:hlinkClick xmlns:r="http://schemas.openxmlformats.org/officeDocument/2006/relationships" r:id="rId4" tooltip="Volver menú pernoctaciones"/>
        </xdr:cNvPr>
        <xdr:cNvSpPr>
          <a:spLocks noChangeArrowheads="1"/>
        </xdr:cNvSpPr>
      </xdr:nvSpPr>
      <xdr:spPr bwMode="auto">
        <a:xfrm rot="10800000">
          <a:off x="7658100" y="503872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0.07165</cdr:x>
      <cdr:y>0</cdr:y>
    </cdr:from>
    <cdr:to>
      <cdr:x>0.93925</cdr:x>
      <cdr:y>0.12683</cdr:y>
    </cdr:to>
    <cdr:sp macro="" textlink="'Pernoctaciones munic y tipologí'!$B$6:$G$6">
      <cdr:nvSpPr>
        <cdr:cNvPr id="2" name="1 CuadroTexto"/>
        <cdr:cNvSpPr txBox="1"/>
      </cdr:nvSpPr>
      <cdr:spPr>
        <a:xfrm xmlns:a="http://schemas.openxmlformats.org/drawingml/2006/main">
          <a:off x="435868" y="0"/>
          <a:ext cx="5277872" cy="5049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CAD4BBD3-2132-46C0-A465-7C3F37CA28BB}" type="TxLink">
            <a:rPr lang="es-ES" sz="1600" b="1"/>
            <a:pPr algn="ctr"/>
            <a:t>PERNOCTACIONES POR MUNICIPIO TURÍSTICO Y TIPOLOGÍA DE ESTABLECIMIENTO</a:t>
          </a:fld>
          <a:endParaRPr lang="es-ES" sz="1600" b="1"/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28575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866775</xdr:colOff>
      <xdr:row>17</xdr:row>
      <xdr:rowOff>66675</xdr:rowOff>
    </xdr:from>
    <xdr:to>
      <xdr:col>15</xdr:col>
      <xdr:colOff>342900</xdr:colOff>
      <xdr:row>19</xdr:row>
      <xdr:rowOff>107950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13877925" y="36195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8</xdr:col>
      <xdr:colOff>180974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542925</xdr:colOff>
      <xdr:row>16</xdr:row>
      <xdr:rowOff>152400</xdr:rowOff>
    </xdr:from>
    <xdr:to>
      <xdr:col>18</xdr:col>
      <xdr:colOff>142875</xdr:colOff>
      <xdr:row>18</xdr:row>
      <xdr:rowOff>136525</xdr:rowOff>
    </xdr:to>
    <xdr:sp macro="" textlink="">
      <xdr:nvSpPr>
        <xdr:cNvPr id="4" name="AutoShape 6">
          <a:hlinkClick xmlns:r="http://schemas.openxmlformats.org/officeDocument/2006/relationships" r:id="rId4" tooltip="Volver menú pernoctaciones"/>
        </xdr:cNvPr>
        <xdr:cNvSpPr>
          <a:spLocks noChangeArrowheads="1"/>
        </xdr:cNvSpPr>
      </xdr:nvSpPr>
      <xdr:spPr bwMode="auto">
        <a:xfrm rot="10800000">
          <a:off x="14049375" y="305752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761999</xdr:colOff>
      <xdr:row>5</xdr:row>
      <xdr:rowOff>0</xdr:rowOff>
    </xdr:from>
    <xdr:to>
      <xdr:col>17</xdr:col>
      <xdr:colOff>66674</xdr:colOff>
      <xdr:row>21</xdr:row>
      <xdr:rowOff>6350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19050</xdr:colOff>
      <xdr:row>23</xdr:row>
      <xdr:rowOff>47625</xdr:rowOff>
    </xdr:from>
    <xdr:to>
      <xdr:col>8</xdr:col>
      <xdr:colOff>400050</xdr:colOff>
      <xdr:row>39</xdr:row>
      <xdr:rowOff>53975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676275</xdr:colOff>
      <xdr:row>15</xdr:row>
      <xdr:rowOff>114300</xdr:rowOff>
    </xdr:from>
    <xdr:to>
      <xdr:col>9</xdr:col>
      <xdr:colOff>276225</xdr:colOff>
      <xdr:row>17</xdr:row>
      <xdr:rowOff>152400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86775" y="2924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57150</xdr:rowOff>
    </xdr:to>
    <xdr:pic>
      <xdr:nvPicPr>
        <xdr:cNvPr id="3" name="Picture 8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38100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0</xdr:colOff>
      <xdr:row>27</xdr:row>
      <xdr:rowOff>0</xdr:rowOff>
    </xdr:from>
    <xdr:to>
      <xdr:col>6</xdr:col>
      <xdr:colOff>361950</xdr:colOff>
      <xdr:row>28</xdr:row>
      <xdr:rowOff>79375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6200775" y="50863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428625</xdr:colOff>
      <xdr:row>24</xdr:row>
      <xdr:rowOff>104775</xdr:rowOff>
    </xdr:from>
    <xdr:to>
      <xdr:col>10</xdr:col>
      <xdr:colOff>28575</xdr:colOff>
      <xdr:row>26</xdr:row>
      <xdr:rowOff>117475</xdr:rowOff>
    </xdr:to>
    <xdr:sp macro="" textlink="">
      <xdr:nvSpPr>
        <xdr:cNvPr id="4" name="AutoShape 6">
          <a:hlinkClick xmlns:r="http://schemas.openxmlformats.org/officeDocument/2006/relationships" r:id="rId4" tooltip="Volver menú pernoctaciones"/>
        </xdr:cNvPr>
        <xdr:cNvSpPr>
          <a:spLocks noChangeArrowheads="1"/>
        </xdr:cNvSpPr>
      </xdr:nvSpPr>
      <xdr:spPr bwMode="auto">
        <a:xfrm rot="10800000">
          <a:off x="7600950" y="46863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municipio y Tipología'!$B$6:$E$6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EF9A64A-D321-4DFB-9462-13E2BFC45F5F}" type="TxLink">
            <a:rPr lang="es-ES" sz="1600" b="1"/>
            <a:pPr algn="ctr"/>
            <a:t>ÍNDICES DE OCUPACIÓN POR MUNICIPIO TURÍSTICO Y TIPOLOGÍA DE ESTABLECIMIENTO (%)</a:t>
          </a:fld>
          <a:endParaRPr lang="es-ES" sz="1600" b="1"/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28575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228600</xdr:colOff>
      <xdr:row>15</xdr:row>
      <xdr:rowOff>104775</xdr:rowOff>
    </xdr:from>
    <xdr:to>
      <xdr:col>11</xdr:col>
      <xdr:colOff>590550</xdr:colOff>
      <xdr:row>17</xdr:row>
      <xdr:rowOff>146050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11229975" y="357187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542925</xdr:colOff>
      <xdr:row>16</xdr:row>
      <xdr:rowOff>152400</xdr:rowOff>
    </xdr:from>
    <xdr:to>
      <xdr:col>18</xdr:col>
      <xdr:colOff>142875</xdr:colOff>
      <xdr:row>18</xdr:row>
      <xdr:rowOff>136525</xdr:rowOff>
    </xdr:to>
    <xdr:sp macro="" textlink="">
      <xdr:nvSpPr>
        <xdr:cNvPr id="4" name="AutoShape 6">
          <a:hlinkClick xmlns:r="http://schemas.openxmlformats.org/officeDocument/2006/relationships" r:id="rId4" tooltip="Volver menú pernoctaciones"/>
        </xdr:cNvPr>
        <xdr:cNvSpPr>
          <a:spLocks noChangeArrowheads="1"/>
        </xdr:cNvSpPr>
      </xdr:nvSpPr>
      <xdr:spPr bwMode="auto">
        <a:xfrm rot="10800000">
          <a:off x="14049375" y="305752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9525</xdr:colOff>
      <xdr:row>22</xdr:row>
      <xdr:rowOff>171450</xdr:rowOff>
    </xdr:from>
    <xdr:to>
      <xdr:col>8</xdr:col>
      <xdr:colOff>12699</xdr:colOff>
      <xdr:row>38</xdr:row>
      <xdr:rowOff>177800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390525</xdr:colOff>
      <xdr:row>27</xdr:row>
      <xdr:rowOff>66675</xdr:rowOff>
    </xdr:from>
    <xdr:to>
      <xdr:col>6</xdr:col>
      <xdr:colOff>38100</xdr:colOff>
      <xdr:row>27</xdr:row>
      <xdr:rowOff>431800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6305550" y="521017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285750</xdr:colOff>
      <xdr:row>26</xdr:row>
      <xdr:rowOff>95250</xdr:rowOff>
    </xdr:from>
    <xdr:to>
      <xdr:col>9</xdr:col>
      <xdr:colOff>647700</xdr:colOff>
      <xdr:row>27</xdr:row>
      <xdr:rowOff>269875</xdr:rowOff>
    </xdr:to>
    <xdr:sp macro="" textlink="">
      <xdr:nvSpPr>
        <xdr:cNvPr id="4" name="AutoShape 6">
          <a:hlinkClick xmlns:r="http://schemas.openxmlformats.org/officeDocument/2006/relationships" r:id="rId4" tooltip="Volver menú pernoctaciones"/>
        </xdr:cNvPr>
        <xdr:cNvSpPr>
          <a:spLocks noChangeArrowheads="1"/>
        </xdr:cNvSpPr>
      </xdr:nvSpPr>
      <xdr:spPr bwMode="auto">
        <a:xfrm rot="10800000">
          <a:off x="7515225" y="46672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MUNICIPIO y tipología'!$B$6:$E$6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B006B54-6134-40C3-AB65-D8DB3C0895ED}" type="TxLink">
            <a:rPr lang="es-ES" sz="1600" b="1"/>
            <a:pPr algn="ctr"/>
            <a:t>ESTANCIAS MEDIAS POR MUNICIPIO TURÍSTICO Y TIPOLOGÍA DE ESTABLECIMIENTO</a:t>
          </a:fld>
          <a:endParaRPr lang="es-ES" sz="1600" b="1"/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28575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95250</xdr:colOff>
      <xdr:row>15</xdr:row>
      <xdr:rowOff>114300</xdr:rowOff>
    </xdr:from>
    <xdr:to>
      <xdr:col>11</xdr:col>
      <xdr:colOff>457200</xdr:colOff>
      <xdr:row>17</xdr:row>
      <xdr:rowOff>155575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11096625" y="35814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542925</xdr:colOff>
      <xdr:row>16</xdr:row>
      <xdr:rowOff>152400</xdr:rowOff>
    </xdr:from>
    <xdr:to>
      <xdr:col>18</xdr:col>
      <xdr:colOff>142875</xdr:colOff>
      <xdr:row>18</xdr:row>
      <xdr:rowOff>136525</xdr:rowOff>
    </xdr:to>
    <xdr:sp macro="" textlink="">
      <xdr:nvSpPr>
        <xdr:cNvPr id="4" name="AutoShape 6">
          <a:hlinkClick xmlns:r="http://schemas.openxmlformats.org/officeDocument/2006/relationships" r:id="rId4" tooltip="Volver menú pernoctaciones"/>
        </xdr:cNvPr>
        <xdr:cNvSpPr>
          <a:spLocks noChangeArrowheads="1"/>
        </xdr:cNvSpPr>
      </xdr:nvSpPr>
      <xdr:spPr bwMode="auto">
        <a:xfrm rot="10800000">
          <a:off x="14049375" y="305752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9525</xdr:colOff>
      <xdr:row>22</xdr:row>
      <xdr:rowOff>171450</xdr:rowOff>
    </xdr:from>
    <xdr:to>
      <xdr:col>8</xdr:col>
      <xdr:colOff>12699</xdr:colOff>
      <xdr:row>38</xdr:row>
      <xdr:rowOff>177800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390525</xdr:colOff>
      <xdr:row>22</xdr:row>
      <xdr:rowOff>155575</xdr:rowOff>
    </xdr:from>
    <xdr:to>
      <xdr:col>10</xdr:col>
      <xdr:colOff>752475</xdr:colOff>
      <xdr:row>24</xdr:row>
      <xdr:rowOff>149225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91525" y="42799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4" name="Picture 6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276225</xdr:colOff>
      <xdr:row>29</xdr:row>
      <xdr:rowOff>104775</xdr:rowOff>
    </xdr:from>
    <xdr:to>
      <xdr:col>7</xdr:col>
      <xdr:colOff>638175</xdr:colOff>
      <xdr:row>31</xdr:row>
      <xdr:rowOff>155575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6276975" y="48958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30</xdr:row>
      <xdr:rowOff>174625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6877050" y="59055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152400</xdr:rowOff>
    </xdr:from>
    <xdr:to>
      <xdr:col>8</xdr:col>
      <xdr:colOff>361950</xdr:colOff>
      <xdr:row>31</xdr:row>
      <xdr:rowOff>203200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6819900" y="51054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590550</xdr:colOff>
      <xdr:row>18</xdr:row>
      <xdr:rowOff>123825</xdr:rowOff>
    </xdr:from>
    <xdr:to>
      <xdr:col>8</xdr:col>
      <xdr:colOff>190500</xdr:colOff>
      <xdr:row>19</xdr:row>
      <xdr:rowOff>238125</xdr:rowOff>
    </xdr:to>
    <xdr:sp macro="" textlink="">
      <xdr:nvSpPr>
        <xdr:cNvPr id="2" name="AutoShape 3">
          <a:hlinkClick xmlns:r="http://schemas.openxmlformats.org/officeDocument/2006/relationships" r:id="rId1" tooltip="Volver a menú principal"/>
        </xdr:cNvPr>
        <xdr:cNvSpPr>
          <a:spLocks noChangeArrowheads="1"/>
        </xdr:cNvSpPr>
      </xdr:nvSpPr>
      <xdr:spPr bwMode="auto">
        <a:xfrm rot="10800000">
          <a:off x="7953375" y="4333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736600</xdr:colOff>
      <xdr:row>39</xdr:row>
      <xdr:rowOff>47625</xdr:rowOff>
    </xdr:from>
    <xdr:to>
      <xdr:col>15</xdr:col>
      <xdr:colOff>336550</xdr:colOff>
      <xdr:row>39</xdr:row>
      <xdr:rowOff>403225</xdr:rowOff>
    </xdr:to>
    <xdr:sp macro="" textlink="">
      <xdr:nvSpPr>
        <xdr:cNvPr id="2" name="AutoShape 5">
          <a:hlinkClick xmlns:r="http://schemas.openxmlformats.org/officeDocument/2006/relationships" r:id="rId1" tooltip="Volver menú Oferta Alojativa"/>
        </xdr:cNvPr>
        <xdr:cNvSpPr>
          <a:spLocks noChangeArrowheads="1"/>
        </xdr:cNvSpPr>
      </xdr:nvSpPr>
      <xdr:spPr bwMode="auto">
        <a:xfrm rot="10800000">
          <a:off x="13442950" y="6705600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19050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346075</xdr:colOff>
      <xdr:row>3</xdr:row>
      <xdr:rowOff>130175</xdr:rowOff>
    </xdr:from>
    <xdr:to>
      <xdr:col>9</xdr:col>
      <xdr:colOff>292100</xdr:colOff>
      <xdr:row>27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206375</xdr:colOff>
      <xdr:row>27</xdr:row>
      <xdr:rowOff>66675</xdr:rowOff>
    </xdr:from>
    <xdr:to>
      <xdr:col>10</xdr:col>
      <xdr:colOff>568325</xdr:colOff>
      <xdr:row>29</xdr:row>
      <xdr:rowOff>111125</xdr:rowOff>
    </xdr:to>
    <xdr:sp macro="" textlink="">
      <xdr:nvSpPr>
        <xdr:cNvPr id="3" name="AutoShape 2">
          <a:hlinkClick xmlns:r="http://schemas.openxmlformats.org/officeDocument/2006/relationships" r:id="rId2" tooltip="Volver menú Oferta Alojativa"/>
        </xdr:cNvPr>
        <xdr:cNvSpPr>
          <a:spLocks noChangeArrowheads="1"/>
        </xdr:cNvSpPr>
      </xdr:nvSpPr>
      <xdr:spPr bwMode="auto">
        <a:xfrm rot="10800000">
          <a:off x="8178800" y="4438650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4" name="Picture 4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209550</xdr:colOff>
      <xdr:row>30</xdr:row>
      <xdr:rowOff>0</xdr:rowOff>
    </xdr:from>
    <xdr:to>
      <xdr:col>9</xdr:col>
      <xdr:colOff>155575</xdr:colOff>
      <xdr:row>53</xdr:row>
      <xdr:rowOff>174625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0.06864</cdr:x>
      <cdr:y>0</cdr:y>
    </cdr:from>
    <cdr:to>
      <cdr:x>0.9298</cdr:x>
      <cdr:y>0.07824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19100" y="0"/>
          <a:ext cx="52578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/>
            <a:t>PLAZAS TURÍSTICAS ESTIMADAS SEGÚN ZONAS TURÍSTICAS Y TIPOLOGÍA ALOJATIVA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0.06864</cdr:x>
      <cdr:y>0</cdr:y>
    </cdr:from>
    <cdr:to>
      <cdr:x>0.9298</cdr:x>
      <cdr:y>0.07824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19100" y="0"/>
          <a:ext cx="52578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/>
            <a:t>PLAZAS TURÍSTICAS ESTIMADAS SEGÚN ZONAS TURÍSTICAS Y TIPOLOGÍA ALOJATIVA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absolute">
    <xdr:from>
      <xdr:col>15</xdr:col>
      <xdr:colOff>257175</xdr:colOff>
      <xdr:row>14</xdr:row>
      <xdr:rowOff>66675</xdr:rowOff>
    </xdr:from>
    <xdr:to>
      <xdr:col>15</xdr:col>
      <xdr:colOff>619125</xdr:colOff>
      <xdr:row>15</xdr:row>
      <xdr:rowOff>120650</xdr:rowOff>
    </xdr:to>
    <xdr:sp macro="" textlink="">
      <xdr:nvSpPr>
        <xdr:cNvPr id="2" name="AutoShape 5">
          <a:hlinkClick xmlns:r="http://schemas.openxmlformats.org/officeDocument/2006/relationships" r:id="rId1" tooltip="Volver menú Oferta Alojativa"/>
        </xdr:cNvPr>
        <xdr:cNvSpPr>
          <a:spLocks noChangeArrowheads="1"/>
        </xdr:cNvSpPr>
      </xdr:nvSpPr>
      <xdr:spPr bwMode="auto">
        <a:xfrm rot="10800000">
          <a:off x="13315950" y="2676525"/>
          <a:ext cx="361950" cy="3492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158750</xdr:colOff>
      <xdr:row>49</xdr:row>
      <xdr:rowOff>139700</xdr:rowOff>
    </xdr:from>
    <xdr:to>
      <xdr:col>15</xdr:col>
      <xdr:colOff>520700</xdr:colOff>
      <xdr:row>50</xdr:row>
      <xdr:rowOff>288925</xdr:rowOff>
    </xdr:to>
    <xdr:sp macro="" textlink="">
      <xdr:nvSpPr>
        <xdr:cNvPr id="4" name="AutoShape 5">
          <a:hlinkClick xmlns:r="http://schemas.openxmlformats.org/officeDocument/2006/relationships" r:id="rId4" tooltip="Volver menú Oferta Alojativa"/>
        </xdr:cNvPr>
        <xdr:cNvSpPr>
          <a:spLocks noChangeArrowheads="1"/>
        </xdr:cNvSpPr>
      </xdr:nvSpPr>
      <xdr:spPr bwMode="auto">
        <a:xfrm rot="10800000">
          <a:off x="13217525" y="990282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15875</xdr:colOff>
      <xdr:row>2</xdr:row>
      <xdr:rowOff>57150</xdr:rowOff>
    </xdr:from>
    <xdr:to>
      <xdr:col>8</xdr:col>
      <xdr:colOff>828675</xdr:colOff>
      <xdr:row>22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19</xdr:col>
      <xdr:colOff>336550</xdr:colOff>
      <xdr:row>19</xdr:row>
      <xdr:rowOff>69850</xdr:rowOff>
    </xdr:from>
    <xdr:to>
      <xdr:col>19</xdr:col>
      <xdr:colOff>698500</xdr:colOff>
      <xdr:row>21</xdr:row>
      <xdr:rowOff>117475</xdr:rowOff>
    </xdr:to>
    <xdr:sp macro="" textlink="">
      <xdr:nvSpPr>
        <xdr:cNvPr id="3" name="AutoShape 2">
          <a:hlinkClick xmlns:r="http://schemas.openxmlformats.org/officeDocument/2006/relationships" r:id="rId2" tooltip="Volver menú Oferta Alojativa"/>
        </xdr:cNvPr>
        <xdr:cNvSpPr>
          <a:spLocks noChangeArrowheads="1"/>
        </xdr:cNvSpPr>
      </xdr:nvSpPr>
      <xdr:spPr bwMode="auto">
        <a:xfrm rot="10800000">
          <a:off x="15176500" y="3146425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4" name="Picture 4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1</xdr:row>
      <xdr:rowOff>152400</xdr:rowOff>
    </xdr:from>
    <xdr:to>
      <xdr:col>18</xdr:col>
      <xdr:colOff>92075</xdr:colOff>
      <xdr:row>22</xdr:row>
      <xdr:rowOff>38099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9525</xdr:colOff>
      <xdr:row>25</xdr:row>
      <xdr:rowOff>95250</xdr:rowOff>
    </xdr:from>
    <xdr:to>
      <xdr:col>8</xdr:col>
      <xdr:colOff>822325</xdr:colOff>
      <xdr:row>45</xdr:row>
      <xdr:rowOff>85725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10</xdr:col>
      <xdr:colOff>19050</xdr:colOff>
      <xdr:row>24</xdr:row>
      <xdr:rowOff>114300</xdr:rowOff>
    </xdr:from>
    <xdr:to>
      <xdr:col>18</xdr:col>
      <xdr:colOff>111125</xdr:colOff>
      <xdr:row>44</xdr:row>
      <xdr:rowOff>133349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</xdr:col>
      <xdr:colOff>0</xdr:colOff>
      <xdr:row>48</xdr:row>
      <xdr:rowOff>0</xdr:rowOff>
    </xdr:from>
    <xdr:to>
      <xdr:col>8</xdr:col>
      <xdr:colOff>812800</xdr:colOff>
      <xdr:row>64</xdr:row>
      <xdr:rowOff>114300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10</xdr:col>
      <xdr:colOff>0</xdr:colOff>
      <xdr:row>48</xdr:row>
      <xdr:rowOff>0</xdr:rowOff>
    </xdr:from>
    <xdr:to>
      <xdr:col>18</xdr:col>
      <xdr:colOff>92075</xdr:colOff>
      <xdr:row>64</xdr:row>
      <xdr:rowOff>142874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10</xdr:col>
      <xdr:colOff>9525</xdr:colOff>
      <xdr:row>66</xdr:row>
      <xdr:rowOff>152400</xdr:rowOff>
    </xdr:from>
    <xdr:to>
      <xdr:col>18</xdr:col>
      <xdr:colOff>101600</xdr:colOff>
      <xdr:row>87</xdr:row>
      <xdr:rowOff>47624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</xdr:col>
      <xdr:colOff>0</xdr:colOff>
      <xdr:row>67</xdr:row>
      <xdr:rowOff>0</xdr:rowOff>
    </xdr:from>
    <xdr:to>
      <xdr:col>8</xdr:col>
      <xdr:colOff>812800</xdr:colOff>
      <xdr:row>87</xdr:row>
      <xdr:rowOff>28575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7334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1</xdr:row>
      <xdr:rowOff>79376</xdr:rowOff>
    </xdr:from>
    <xdr:to>
      <xdr:col>8</xdr:col>
      <xdr:colOff>34924</xdr:colOff>
      <xdr:row>18</xdr:row>
      <xdr:rowOff>79375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16</xdr:col>
      <xdr:colOff>736600</xdr:colOff>
      <xdr:row>20</xdr:row>
      <xdr:rowOff>22225</xdr:rowOff>
    </xdr:from>
    <xdr:to>
      <xdr:col>17</xdr:col>
      <xdr:colOff>288925</xdr:colOff>
      <xdr:row>21</xdr:row>
      <xdr:rowOff>190500</xdr:rowOff>
    </xdr:to>
    <xdr:sp macro="" textlink="">
      <xdr:nvSpPr>
        <xdr:cNvPr id="3" name="AutoShape 2">
          <a:hlinkClick xmlns:r="http://schemas.openxmlformats.org/officeDocument/2006/relationships" r:id="rId2" tooltip="Volver menú Oferta Alojativa"/>
        </xdr:cNvPr>
        <xdr:cNvSpPr>
          <a:spLocks noChangeArrowheads="1"/>
        </xdr:cNvSpPr>
      </xdr:nvSpPr>
      <xdr:spPr bwMode="auto">
        <a:xfrm rot="10800000">
          <a:off x="13928725" y="402272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85725</xdr:rowOff>
    </xdr:to>
    <xdr:pic>
      <xdr:nvPicPr>
        <xdr:cNvPr id="4" name="Picture 4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765175</xdr:colOff>
      <xdr:row>1</xdr:row>
      <xdr:rowOff>73025</xdr:rowOff>
    </xdr:from>
    <xdr:to>
      <xdr:col>15</xdr:col>
      <xdr:colOff>736600</xdr:colOff>
      <xdr:row>18</xdr:row>
      <xdr:rowOff>73025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19050</xdr:colOff>
      <xdr:row>20</xdr:row>
      <xdr:rowOff>9525</xdr:rowOff>
    </xdr:from>
    <xdr:to>
      <xdr:col>7</xdr:col>
      <xdr:colOff>800100</xdr:colOff>
      <xdr:row>36</xdr:row>
      <xdr:rowOff>161924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9</xdr:col>
      <xdr:colOff>19050</xdr:colOff>
      <xdr:row>20</xdr:row>
      <xdr:rowOff>0</xdr:rowOff>
    </xdr:from>
    <xdr:to>
      <xdr:col>16</xdr:col>
      <xdr:colOff>0</xdr:colOff>
      <xdr:row>36</xdr:row>
      <xdr:rowOff>152399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</xdr:col>
      <xdr:colOff>142875</xdr:colOff>
      <xdr:row>39</xdr:row>
      <xdr:rowOff>0</xdr:rowOff>
    </xdr:from>
    <xdr:to>
      <xdr:col>8</xdr:col>
      <xdr:colOff>107949</xdr:colOff>
      <xdr:row>55</xdr:row>
      <xdr:rowOff>200024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8</xdr:col>
      <xdr:colOff>695325</xdr:colOff>
      <xdr:row>39</xdr:row>
      <xdr:rowOff>34924</xdr:rowOff>
    </xdr:from>
    <xdr:to>
      <xdr:col>15</xdr:col>
      <xdr:colOff>666750</xdr:colOff>
      <xdr:row>56</xdr:row>
      <xdr:rowOff>34924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</xdr:col>
      <xdr:colOff>139700</xdr:colOff>
      <xdr:row>58</xdr:row>
      <xdr:rowOff>19049</xdr:rowOff>
    </xdr:from>
    <xdr:to>
      <xdr:col>8</xdr:col>
      <xdr:colOff>111125</xdr:colOff>
      <xdr:row>74</xdr:row>
      <xdr:rowOff>171448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8</xdr:col>
      <xdr:colOff>663575</xdr:colOff>
      <xdr:row>57</xdr:row>
      <xdr:rowOff>200024</xdr:rowOff>
    </xdr:from>
    <xdr:to>
      <xdr:col>15</xdr:col>
      <xdr:colOff>644525</xdr:colOff>
      <xdr:row>74</xdr:row>
      <xdr:rowOff>146048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6:$H$6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76E7C67-BCF9-4A8A-BF93-2F2D8FFCB214}" type="TxLink">
            <a:rPr lang="es-ES" sz="1600" b="1"/>
            <a:pPr algn="ctr"/>
            <a:t>PLAZAS ALOJATIVAS ESTIMADAS EN ADEJE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0.41493</cdr:x>
      <cdr:y>0.49971</cdr:y>
    </cdr:from>
    <cdr:to>
      <cdr:x>0.583</cdr:x>
      <cdr:y>0.5625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293619" y="1675426"/>
          <a:ext cx="929005" cy="210523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0.07919</cdr:x>
      <cdr:y>0</cdr:y>
    </cdr:from>
    <cdr:to>
      <cdr:x>0.9133</cdr:x>
      <cdr:y>0.18466</cdr:y>
    </cdr:to>
    <cdr:sp macro="" textlink="'Oferta Alojat Estim tipol categ'!$C$19:$H$19">
      <cdr:nvSpPr>
        <cdr:cNvPr id="3" name="2 CuadroTexto"/>
        <cdr:cNvSpPr txBox="1"/>
      </cdr:nvSpPr>
      <cdr:spPr>
        <a:xfrm xmlns:a="http://schemas.openxmlformats.org/drawingml/2006/main">
          <a:off x="446559" y="0"/>
          <a:ext cx="4703380" cy="6478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E2180C9-FCB5-411C-98E8-0C318381F6FF}" type="TxLink">
            <a:rPr lang="es-ES" sz="1600" b="1"/>
            <a:pPr algn="ctr"/>
            <a:t>PLAZAS ALOJATIVAS ESTIMADAS EN ARONA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0.4192</cdr:x>
      <cdr:y>0.5142</cdr:y>
    </cdr:from>
    <cdr:to>
      <cdr:x>0.58059</cdr:x>
      <cdr:y>0.5767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03895" y="1724025"/>
          <a:ext cx="886980" cy="209549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31:$H$31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D552BD2-5AA8-4C07-91E2-A17982E07854}" type="TxLink">
            <a:rPr lang="es-ES" sz="1600" b="1"/>
            <a:pPr algn="ctr"/>
            <a:t>PLAZAS ALOJATIVAS ESTIMADAS EN PUERTO DE LA CRUZ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0.4082</cdr:x>
      <cdr:y>0.52557</cdr:y>
    </cdr:from>
    <cdr:to>
      <cdr:x>0.5716</cdr:x>
      <cdr:y>0.57541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135862" y="1762124"/>
          <a:ext cx="854987" cy="16709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42:$H$42">
      <cdr:nvSpPr>
        <cdr:cNvPr id="3" name="2 CuadroTexto"/>
        <cdr:cNvSpPr txBox="1"/>
      </cdr:nvSpPr>
      <cdr:spPr>
        <a:xfrm xmlns:a="http://schemas.openxmlformats.org/drawingml/2006/main">
          <a:off x="498358" y="0"/>
          <a:ext cx="4743104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51CC374-A0AD-4F02-8EB7-10D7C7C6710A}" type="TxLink">
            <a:rPr lang="es-ES" sz="1600" b="1"/>
            <a:pPr algn="ctr"/>
            <a:t>PLAZAS ALOJATIVAS ESTIMADAS EN SANTA CRUZ SEGÚN TIPOLOGÍA Y CATEGORÍA (*)</a:t>
          </a:fld>
          <a:endParaRPr lang="es-ES" sz="1600" b="1"/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6:$H$6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76E7C67-BCF9-4A8A-BF93-2F2D8FFCB214}" type="TxLink">
            <a:rPr lang="es-ES" sz="1600" b="1"/>
            <a:pPr algn="ctr"/>
            <a:t>PLAZAS ALOJATIVAS ESTIMADAS EN ADEJE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0.41493</cdr:x>
      <cdr:y>0.49971</cdr:y>
    </cdr:from>
    <cdr:to>
      <cdr:x>0.583</cdr:x>
      <cdr:y>0.5625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293619" y="1675426"/>
          <a:ext cx="929005" cy="210523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19:$H$19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E2180C9-FCB5-411C-98E8-0C318381F6FF}" type="TxLink">
            <a:rPr lang="es-ES" sz="1600" b="1"/>
            <a:pPr algn="ctr"/>
            <a:t>PLAZAS ALOJATIVAS ESTIMADAS EN ARONA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0.4192</cdr:x>
      <cdr:y>0.5142</cdr:y>
    </cdr:from>
    <cdr:to>
      <cdr:x>0.58059</cdr:x>
      <cdr:y>0.5767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03895" y="1724025"/>
          <a:ext cx="886980" cy="209549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31:$H$31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D552BD2-5AA8-4C07-91E2-A17982E07854}" type="TxLink">
            <a:rPr lang="es-ES" sz="1600" b="1"/>
            <a:pPr algn="ctr"/>
            <a:t>PLAZAS ALOJATIVAS ESTIMADAS EN PUERTO DE LA CRUZ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0.4082</cdr:x>
      <cdr:y>0.52557</cdr:y>
    </cdr:from>
    <cdr:to>
      <cdr:x>0.5716</cdr:x>
      <cdr:y>0.57541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135862" y="1762124"/>
          <a:ext cx="854987" cy="16709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42:$H$42">
      <cdr:nvSpPr>
        <cdr:cNvPr id="3" name="2 CuadroTexto"/>
        <cdr:cNvSpPr txBox="1"/>
      </cdr:nvSpPr>
      <cdr:spPr>
        <a:xfrm xmlns:a="http://schemas.openxmlformats.org/drawingml/2006/main">
          <a:off x="498358" y="0"/>
          <a:ext cx="4743104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51CC374-A0AD-4F02-8EB7-10D7C7C6710A}" type="TxLink">
            <a:rPr lang="es-ES" sz="1600" b="1"/>
            <a:pPr algn="ctr"/>
            <a:t>PLAZAS ALOJATIVAS ESTIMADAS EN SANTA CRUZ SEGÚN TIPOLOGÍA Y CATEGORÍA (*)</a:t>
          </a:fld>
          <a:endParaRPr lang="es-ES" sz="1600" b="1"/>
        </a:p>
      </cdr:txBody>
    </cdr:sp>
  </cdr:relSizeAnchor>
</c:userShapes>
</file>

<file path=xl/drawings/drawing139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4232275</xdr:colOff>
      <xdr:row>21</xdr:row>
      <xdr:rowOff>114300</xdr:rowOff>
    </xdr:from>
    <xdr:to>
      <xdr:col>6</xdr:col>
      <xdr:colOff>276225</xdr:colOff>
      <xdr:row>23</xdr:row>
      <xdr:rowOff>38100</xdr:rowOff>
    </xdr:to>
    <xdr:sp macro="" textlink="">
      <xdr:nvSpPr>
        <xdr:cNvPr id="2" name="AutoShape 3">
          <a:hlinkClick xmlns:r="http://schemas.openxmlformats.org/officeDocument/2006/relationships" r:id="rId1" tooltip="Volver a menú principal"/>
        </xdr:cNvPr>
        <xdr:cNvSpPr>
          <a:spLocks noChangeArrowheads="1"/>
        </xdr:cNvSpPr>
      </xdr:nvSpPr>
      <xdr:spPr bwMode="auto">
        <a:xfrm rot="10800000">
          <a:off x="7651750" y="5010150"/>
          <a:ext cx="358775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466725</xdr:colOff>
      <xdr:row>56</xdr:row>
      <xdr:rowOff>123825</xdr:rowOff>
    </xdr:from>
    <xdr:to>
      <xdr:col>13</xdr:col>
      <xdr:colOff>66675</xdr:colOff>
      <xdr:row>71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28712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647700</xdr:colOff>
      <xdr:row>3</xdr:row>
      <xdr:rowOff>28575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95250</xdr:colOff>
      <xdr:row>37</xdr:row>
      <xdr:rowOff>76200</xdr:rowOff>
    </xdr:from>
    <xdr:to>
      <xdr:col>9</xdr:col>
      <xdr:colOff>457200</xdr:colOff>
      <xdr:row>39</xdr:row>
      <xdr:rowOff>95250</xdr:rowOff>
    </xdr:to>
    <xdr:sp macro="" textlink="">
      <xdr:nvSpPr>
        <xdr:cNvPr id="3" name="AutoShape 8">
          <a:hlinkClick xmlns:r="http://schemas.openxmlformats.org/officeDocument/2006/relationships" r:id="rId3" tooltip="Volver menú Oferta Alojativa Autorizada"/>
        </xdr:cNvPr>
        <xdr:cNvSpPr>
          <a:spLocks noChangeArrowheads="1"/>
        </xdr:cNvSpPr>
      </xdr:nvSpPr>
      <xdr:spPr bwMode="auto">
        <a:xfrm rot="10800000">
          <a:off x="8743950" y="6696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50800</xdr:colOff>
      <xdr:row>1</xdr:row>
      <xdr:rowOff>104774</xdr:rowOff>
    </xdr:from>
    <xdr:to>
      <xdr:col>9</xdr:col>
      <xdr:colOff>717550</xdr:colOff>
      <xdr:row>26</xdr:row>
      <xdr:rowOff>50799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212725</xdr:colOff>
      <xdr:row>27</xdr:row>
      <xdr:rowOff>44450</xdr:rowOff>
    </xdr:from>
    <xdr:to>
      <xdr:col>10</xdr:col>
      <xdr:colOff>574675</xdr:colOff>
      <xdr:row>28</xdr:row>
      <xdr:rowOff>22225</xdr:rowOff>
    </xdr:to>
    <xdr:sp macro="" textlink="">
      <xdr:nvSpPr>
        <xdr:cNvPr id="3" name="AutoShape 3">
          <a:hlinkClick xmlns:r="http://schemas.openxmlformats.org/officeDocument/2006/relationships" r:id="rId2" tooltip="Volver menú Oferta Alojativa Autorizada"/>
        </xdr:cNvPr>
        <xdr:cNvSpPr>
          <a:spLocks noChangeArrowheads="1"/>
        </xdr:cNvSpPr>
      </xdr:nvSpPr>
      <xdr:spPr bwMode="auto">
        <a:xfrm rot="10800000">
          <a:off x="7537450" y="44450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4" name="Picture 4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0.08764</cdr:x>
      <cdr:y>0.00955</cdr:y>
    </cdr:from>
    <cdr:to>
      <cdr:x>0.92175</cdr:x>
      <cdr:y>0.09547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33400" y="38101"/>
          <a:ext cx="5076825" cy="342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/>
            <a:t>PLAZAS TURÍSTICAS AUTORIZADAS SEGÚN TIPOLOGÍAS</a:t>
          </a:r>
        </a:p>
      </cdr:txBody>
    </cdr:sp>
  </cdr:relSizeAnchor>
</c:userShapes>
</file>

<file path=xl/drawings/drawing14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647700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371475</xdr:colOff>
      <xdr:row>37</xdr:row>
      <xdr:rowOff>152400</xdr:rowOff>
    </xdr:from>
    <xdr:to>
      <xdr:col>13</xdr:col>
      <xdr:colOff>733425</xdr:colOff>
      <xdr:row>39</xdr:row>
      <xdr:rowOff>190500</xdr:rowOff>
    </xdr:to>
    <xdr:sp macro="" textlink="">
      <xdr:nvSpPr>
        <xdr:cNvPr id="3" name="AutoShape 6">
          <a:hlinkClick xmlns:r="http://schemas.openxmlformats.org/officeDocument/2006/relationships" r:id="rId3" tooltip="Volver menú Oferta Alojativa Autorizada"/>
        </xdr:cNvPr>
        <xdr:cNvSpPr>
          <a:spLocks noChangeArrowheads="1"/>
        </xdr:cNvSpPr>
      </xdr:nvSpPr>
      <xdr:spPr bwMode="auto">
        <a:xfrm rot="10800000">
          <a:off x="9696450" y="6791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400050</xdr:colOff>
      <xdr:row>33</xdr:row>
      <xdr:rowOff>276225</xdr:rowOff>
    </xdr:from>
    <xdr:to>
      <xdr:col>9</xdr:col>
      <xdr:colOff>762000</xdr:colOff>
      <xdr:row>33</xdr:row>
      <xdr:rowOff>638175</xdr:rowOff>
    </xdr:to>
    <xdr:sp macro="" textlink="">
      <xdr:nvSpPr>
        <xdr:cNvPr id="3" name="AutoShape 6">
          <a:hlinkClick xmlns:r="http://schemas.openxmlformats.org/officeDocument/2006/relationships" r:id="rId3" tooltip="Volver menú Oferta Alojativa Autorizada"/>
        </xdr:cNvPr>
        <xdr:cNvSpPr>
          <a:spLocks noChangeArrowheads="1"/>
        </xdr:cNvSpPr>
      </xdr:nvSpPr>
      <xdr:spPr bwMode="auto">
        <a:xfrm rot="10800000">
          <a:off x="10039350" y="5838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1044576</xdr:colOff>
      <xdr:row>4</xdr:row>
      <xdr:rowOff>0</xdr:rowOff>
    </xdr:from>
    <xdr:to>
      <xdr:col>7</xdr:col>
      <xdr:colOff>762000</xdr:colOff>
      <xdr:row>21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165100</xdr:colOff>
      <xdr:row>23</xdr:row>
      <xdr:rowOff>12700</xdr:rowOff>
    </xdr:from>
    <xdr:to>
      <xdr:col>17</xdr:col>
      <xdr:colOff>527050</xdr:colOff>
      <xdr:row>25</xdr:row>
      <xdr:rowOff>9525</xdr:rowOff>
    </xdr:to>
    <xdr:sp macro="" textlink="">
      <xdr:nvSpPr>
        <xdr:cNvPr id="3" name="AutoShape 3">
          <a:hlinkClick xmlns:r="http://schemas.openxmlformats.org/officeDocument/2006/relationships" r:id="rId2" tooltip="Volver menú Oferta Alojativa Autorizada"/>
        </xdr:cNvPr>
        <xdr:cNvSpPr>
          <a:spLocks noChangeArrowheads="1"/>
        </xdr:cNvSpPr>
      </xdr:nvSpPr>
      <xdr:spPr bwMode="auto">
        <a:xfrm rot="10800000">
          <a:off x="13804900" y="41179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19050</xdr:rowOff>
    </xdr:to>
    <xdr:pic>
      <xdr:nvPicPr>
        <xdr:cNvPr id="4" name="Picture 4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28575</xdr:colOff>
      <xdr:row>3</xdr:row>
      <xdr:rowOff>161926</xdr:rowOff>
    </xdr:from>
    <xdr:to>
      <xdr:col>16</xdr:col>
      <xdr:colOff>19050</xdr:colOff>
      <xdr:row>21</xdr:row>
      <xdr:rowOff>9526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1</xdr:colOff>
      <xdr:row>23</xdr:row>
      <xdr:rowOff>171450</xdr:rowOff>
    </xdr:from>
    <xdr:to>
      <xdr:col>8</xdr:col>
      <xdr:colOff>9526</xdr:colOff>
      <xdr:row>40</xdr:row>
      <xdr:rowOff>161924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9</xdr:col>
      <xdr:colOff>19050</xdr:colOff>
      <xdr:row>23</xdr:row>
      <xdr:rowOff>171452</xdr:rowOff>
    </xdr:from>
    <xdr:to>
      <xdr:col>16</xdr:col>
      <xdr:colOff>28575</xdr:colOff>
      <xdr:row>41</xdr:row>
      <xdr:rowOff>9526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419100</xdr:colOff>
      <xdr:row>61</xdr:row>
      <xdr:rowOff>47625</xdr:rowOff>
    </xdr:from>
    <xdr:to>
      <xdr:col>18</xdr:col>
      <xdr:colOff>19050</xdr:colOff>
      <xdr:row>61</xdr:row>
      <xdr:rowOff>47625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019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238125</xdr:colOff>
      <xdr:row>43</xdr:row>
      <xdr:rowOff>123825</xdr:rowOff>
    </xdr:from>
    <xdr:to>
      <xdr:col>11</xdr:col>
      <xdr:colOff>600075</xdr:colOff>
      <xdr:row>57</xdr:row>
      <xdr:rowOff>104775</xdr:rowOff>
    </xdr:to>
    <xdr:sp macro="" textlink="">
      <xdr:nvSpPr>
        <xdr:cNvPr id="4" name="AutoShape 3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001250" y="3952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247650</xdr:colOff>
      <xdr:row>17</xdr:row>
      <xdr:rowOff>82550</xdr:rowOff>
    </xdr:from>
    <xdr:to>
      <xdr:col>10</xdr:col>
      <xdr:colOff>609600</xdr:colOff>
      <xdr:row>18</xdr:row>
      <xdr:rowOff>130175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48650" y="3797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276225</xdr:colOff>
      <xdr:row>37</xdr:row>
      <xdr:rowOff>152400</xdr:rowOff>
    </xdr:from>
    <xdr:to>
      <xdr:col>10</xdr:col>
      <xdr:colOff>638175</xdr:colOff>
      <xdr:row>39</xdr:row>
      <xdr:rowOff>133350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77225" y="8096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352425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317500</xdr:colOff>
      <xdr:row>3</xdr:row>
      <xdr:rowOff>0</xdr:rowOff>
    </xdr:from>
    <xdr:to>
      <xdr:col>9</xdr:col>
      <xdr:colOff>479425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171450</xdr:colOff>
      <xdr:row>64</xdr:row>
      <xdr:rowOff>95250</xdr:rowOff>
    </xdr:from>
    <xdr:to>
      <xdr:col>10</xdr:col>
      <xdr:colOff>533400</xdr:colOff>
      <xdr:row>66</xdr:row>
      <xdr:rowOff>76200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15300" y="1237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98425</xdr:colOff>
      <xdr:row>17</xdr:row>
      <xdr:rowOff>187325</xdr:rowOff>
    </xdr:from>
    <xdr:to>
      <xdr:col>10</xdr:col>
      <xdr:colOff>460375</xdr:colOff>
      <xdr:row>19</xdr:row>
      <xdr:rowOff>168275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42275" y="342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98425</xdr:colOff>
      <xdr:row>37</xdr:row>
      <xdr:rowOff>104775</xdr:rowOff>
    </xdr:from>
    <xdr:to>
      <xdr:col>10</xdr:col>
      <xdr:colOff>460375</xdr:colOff>
      <xdr:row>39</xdr:row>
      <xdr:rowOff>85725</xdr:rowOff>
    </xdr:to>
    <xdr:sp macro="" textlink="">
      <xdr:nvSpPr>
        <xdr:cNvPr id="5" name="AutoShape 3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42275" y="718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6" name="Picture 3" descr="MARCA TENERIFE">
          <a:hlinkClick xmlns:r="http://schemas.openxmlformats.org/officeDocument/2006/relationships" r:id="rId5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23</xdr:row>
      <xdr:rowOff>31750</xdr:rowOff>
    </xdr:from>
    <xdr:to>
      <xdr:col>9</xdr:col>
      <xdr:colOff>447675</xdr:colOff>
      <xdr:row>41</xdr:row>
      <xdr:rowOff>104775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oneCell">
    <xdr:from>
      <xdr:col>2</xdr:col>
      <xdr:colOff>222250</xdr:colOff>
      <xdr:row>43</xdr:row>
      <xdr:rowOff>15875</xdr:rowOff>
    </xdr:from>
    <xdr:to>
      <xdr:col>9</xdr:col>
      <xdr:colOff>384175</xdr:colOff>
      <xdr:row>61</xdr:row>
      <xdr:rowOff>120650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161925</xdr:colOff>
      <xdr:row>20</xdr:row>
      <xdr:rowOff>142875</xdr:rowOff>
    </xdr:from>
    <xdr:to>
      <xdr:col>7</xdr:col>
      <xdr:colOff>523875</xdr:colOff>
      <xdr:row>22</xdr:row>
      <xdr:rowOff>123825</xdr:rowOff>
    </xdr:to>
    <xdr:sp macro="" textlink="">
      <xdr:nvSpPr>
        <xdr:cNvPr id="2" name="AutoShape 10">
          <a:hlinkClick xmlns:r="http://schemas.openxmlformats.org/officeDocument/2006/relationships" r:id="rId1" tooltip="Volver a menú principal"/>
        </xdr:cNvPr>
        <xdr:cNvSpPr>
          <a:spLocks noChangeAspect="1" noChangeArrowheads="1"/>
        </xdr:cNvSpPr>
      </xdr:nvSpPr>
      <xdr:spPr bwMode="auto">
        <a:xfrm rot="10800000">
          <a:off x="9248775" y="469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11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69850</xdr:colOff>
      <xdr:row>10</xdr:row>
      <xdr:rowOff>9525</xdr:rowOff>
    </xdr:from>
    <xdr:to>
      <xdr:col>19</xdr:col>
      <xdr:colOff>431800</xdr:colOff>
      <xdr:row>11</xdr:row>
      <xdr:rowOff>180975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414625" y="2895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19</xdr:col>
      <xdr:colOff>333375</xdr:colOff>
      <xdr:row>35</xdr:row>
      <xdr:rowOff>107950</xdr:rowOff>
    </xdr:from>
    <xdr:to>
      <xdr:col>19</xdr:col>
      <xdr:colOff>695325</xdr:colOff>
      <xdr:row>37</xdr:row>
      <xdr:rowOff>88900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678150" y="8261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19</xdr:col>
      <xdr:colOff>387350</xdr:colOff>
      <xdr:row>54</xdr:row>
      <xdr:rowOff>117475</xdr:rowOff>
    </xdr:from>
    <xdr:to>
      <xdr:col>19</xdr:col>
      <xdr:colOff>749300</xdr:colOff>
      <xdr:row>56</xdr:row>
      <xdr:rowOff>98425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732125" y="12395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428625</xdr:colOff>
      <xdr:row>31</xdr:row>
      <xdr:rowOff>0</xdr:rowOff>
    </xdr:from>
    <xdr:to>
      <xdr:col>8</xdr:col>
      <xdr:colOff>28575</xdr:colOff>
      <xdr:row>32</xdr:row>
      <xdr:rowOff>171450</xdr:rowOff>
    </xdr:to>
    <xdr:sp macro="" textlink="">
      <xdr:nvSpPr>
        <xdr:cNvPr id="2" name="AutoShape 10">
          <a:hlinkClick xmlns:r="http://schemas.openxmlformats.org/officeDocument/2006/relationships" r:id="rId1" tooltip="Volver a menú principal"/>
        </xdr:cNvPr>
        <xdr:cNvSpPr>
          <a:spLocks noChangeAspect="1" noChangeArrowheads="1"/>
        </xdr:cNvSpPr>
      </xdr:nvSpPr>
      <xdr:spPr bwMode="auto">
        <a:xfrm rot="10800000">
          <a:off x="9515475" y="7038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11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752475</xdr:colOff>
      <xdr:row>83</xdr:row>
      <xdr:rowOff>180975</xdr:rowOff>
    </xdr:from>
    <xdr:to>
      <xdr:col>12</xdr:col>
      <xdr:colOff>257175</xdr:colOff>
      <xdr:row>83</xdr:row>
      <xdr:rowOff>180975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701992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0</xdr:colOff>
      <xdr:row>15</xdr:row>
      <xdr:rowOff>0</xdr:rowOff>
    </xdr:from>
    <xdr:to>
      <xdr:col>11</xdr:col>
      <xdr:colOff>361950</xdr:colOff>
      <xdr:row>16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743950" y="2828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196850</xdr:colOff>
      <xdr:row>20</xdr:row>
      <xdr:rowOff>38100</xdr:rowOff>
    </xdr:from>
    <xdr:to>
      <xdr:col>11</xdr:col>
      <xdr:colOff>558800</xdr:colOff>
      <xdr:row>22</xdr:row>
      <xdr:rowOff>19050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69350" y="4200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0.95037</cdr:y>
    </cdr:from>
    <cdr:to>
      <cdr:x>0.58562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2914650"/>
          <a:ext cx="3223418" cy="1489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190500</xdr:colOff>
      <xdr:row>19</xdr:row>
      <xdr:rowOff>142875</xdr:rowOff>
    </xdr:from>
    <xdr:to>
      <xdr:col>10</xdr:col>
      <xdr:colOff>552450</xdr:colOff>
      <xdr:row>21</xdr:row>
      <xdr:rowOff>123825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20050" y="4124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571500</xdr:colOff>
      <xdr:row>1</xdr:row>
      <xdr:rowOff>254000</xdr:rowOff>
    </xdr:from>
    <xdr:to>
      <xdr:col>9</xdr:col>
      <xdr:colOff>314325</xdr:colOff>
      <xdr:row>19</xdr:row>
      <xdr:rowOff>41275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0.07598</cdr:x>
      <cdr:y>0.00032</cdr:y>
    </cdr:from>
    <cdr:to>
      <cdr:x>0.95307</cdr:x>
      <cdr:y>0.18434</cdr:y>
    </cdr:to>
    <cdr:sp macro="" textlink="'[2]Turistas por categorías '!$Q$4:$S$4">
      <cdr:nvSpPr>
        <cdr:cNvPr id="2" name="1 CuadroTexto"/>
        <cdr:cNvSpPr txBox="1"/>
      </cdr:nvSpPr>
      <cdr:spPr>
        <a:xfrm xmlns:a="http://schemas.openxmlformats.org/drawingml/2006/main">
          <a:off x="377785" y="1191"/>
          <a:ext cx="4360902" cy="6941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B05D314-6060-4B8F-98BE-268FE42DAF16}" type="TxLink">
            <a:rPr lang="es-ES" sz="1600" b="1"/>
            <a:pPr algn="ctr"/>
            <a:t> </a:t>
          </a:fld>
          <a:endParaRPr lang="es-ES" sz="1600" b="1"/>
        </a:p>
      </cdr:txBody>
    </cdr:sp>
  </cdr:relSizeAnchor>
  <cdr:relSizeAnchor xmlns:cdr="http://schemas.openxmlformats.org/drawingml/2006/chartDrawing">
    <cdr:from>
      <cdr:x>0.36782</cdr:x>
      <cdr:y>0.4798</cdr:y>
    </cdr:from>
    <cdr:to>
      <cdr:x>0.54735</cdr:x>
      <cdr:y>0.53917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828800" y="1809750"/>
          <a:ext cx="892660" cy="2239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ysClr val="windowText" lastClr="000000"/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0.01916</cdr:x>
      <cdr:y>0.4697</cdr:y>
    </cdr:from>
    <cdr:to>
      <cdr:x>0.21264</cdr:x>
      <cdr:y>0.53283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95250" y="1771650"/>
          <a:ext cx="962024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/>
            <a:t>Extrahotelero</a:t>
          </a:r>
        </a:p>
      </cdr:txBody>
    </cdr:sp>
  </cdr:relSizeAnchor>
  <cdr:relSizeAnchor xmlns:cdr="http://schemas.openxmlformats.org/drawingml/2006/chartDrawing">
    <cdr:from>
      <cdr:x>0.85249</cdr:x>
      <cdr:y>0.25758</cdr:y>
    </cdr:from>
    <cdr:to>
      <cdr:x>0.97701</cdr:x>
      <cdr:y>0.35808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238625" y="971550"/>
          <a:ext cx="619125" cy="3790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1* y</a:t>
          </a:r>
          <a:r>
            <a:rPr lang="es-ES" sz="1000" baseline="0"/>
            <a:t>  2 *</a:t>
          </a:r>
          <a:endParaRPr lang="es-ES" sz="1000"/>
        </a:p>
      </cdr:txBody>
    </cdr:sp>
  </cdr:relSizeAnchor>
  <cdr:relSizeAnchor xmlns:cdr="http://schemas.openxmlformats.org/drawingml/2006/chartDrawing">
    <cdr:from>
      <cdr:x>0.86398</cdr:x>
      <cdr:y>0.38384</cdr:y>
    </cdr:from>
    <cdr:to>
      <cdr:x>0.95247</cdr:x>
      <cdr:y>0.477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295775" y="1447800"/>
          <a:ext cx="439966" cy="35138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3*</a:t>
          </a:r>
        </a:p>
      </cdr:txBody>
    </cdr:sp>
  </cdr:relSizeAnchor>
  <cdr:relSizeAnchor xmlns:cdr="http://schemas.openxmlformats.org/drawingml/2006/chartDrawing">
    <cdr:from>
      <cdr:x>0.85632</cdr:x>
      <cdr:y>0.49747</cdr:y>
    </cdr:from>
    <cdr:to>
      <cdr:x>0.94481</cdr:x>
      <cdr:y>0.59308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257675" y="1876425"/>
          <a:ext cx="439967" cy="36063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4*</a:t>
          </a:r>
        </a:p>
      </cdr:txBody>
    </cdr:sp>
  </cdr:relSizeAnchor>
  <cdr:relSizeAnchor xmlns:cdr="http://schemas.openxmlformats.org/drawingml/2006/chartDrawing">
    <cdr:from>
      <cdr:x>0.85824</cdr:x>
      <cdr:y>0.63636</cdr:y>
    </cdr:from>
    <cdr:to>
      <cdr:x>0.95214</cdr:x>
      <cdr:y>0.73107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4267200" y="2400300"/>
          <a:ext cx="466878" cy="3572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5*</a:t>
          </a:r>
        </a:p>
      </cdr:txBody>
    </cdr:sp>
  </cdr:relSizeAnchor>
  <cdr:relSizeAnchor xmlns:cdr="http://schemas.openxmlformats.org/drawingml/2006/chartDrawing">
    <cdr:from>
      <cdr:x>0.00958</cdr:x>
      <cdr:y>0.95707</cdr:y>
    </cdr:from>
    <cdr:to>
      <cdr:x>0.64451</cdr:x>
      <cdr:y>0.99869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" y="3609975"/>
          <a:ext cx="3156906" cy="1569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0.07692</cdr:x>
      <cdr:y>0.00266</cdr:y>
    </cdr:from>
    <cdr:to>
      <cdr:x>0.97059</cdr:x>
      <cdr:y>0.14324</cdr:y>
    </cdr:to>
    <cdr:sp macro="" textlink="'[2]Turistas por categorías '!$L$4:$N$4">
      <cdr:nvSpPr>
        <cdr:cNvPr id="10" name="1 CuadroTexto"/>
        <cdr:cNvSpPr txBox="1"/>
      </cdr:nvSpPr>
      <cdr:spPr>
        <a:xfrm xmlns:a="http://schemas.openxmlformats.org/drawingml/2006/main">
          <a:off x="390525" y="9525"/>
          <a:ext cx="4536998" cy="5034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FF08E3CF-E384-4BD2-8767-8E3F4646D7BA}" type="TxLink">
            <a:rPr lang="es-ES" sz="1600" b="1"/>
            <a:pPr algn="ctr"/>
            <a:t>DISTRIBUCIÓN DE TURISTAS  ALOJADOS EN ADEJE POR CATEGORÍA </a:t>
          </a:fld>
          <a:endParaRPr lang="es-ES" sz="1600" b="1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20</xdr:row>
      <xdr:rowOff>38100</xdr:rowOff>
    </xdr:from>
    <xdr:to>
      <xdr:col>10</xdr:col>
      <xdr:colOff>361950</xdr:colOff>
      <xdr:row>22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29550" y="4210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447675</xdr:colOff>
      <xdr:row>1</xdr:row>
      <xdr:rowOff>409575</xdr:rowOff>
    </xdr:from>
    <xdr:to>
      <xdr:col>8</xdr:col>
      <xdr:colOff>247651</xdr:colOff>
      <xdr:row>19</xdr:row>
      <xdr:rowOff>139700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0.06994</cdr:x>
      <cdr:y>0</cdr:y>
    </cdr:from>
    <cdr:to>
      <cdr:x>0.95366</cdr:x>
      <cdr:y>0.14286</cdr:y>
    </cdr:to>
    <cdr:sp macro="" textlink="'[2]Turistas por categorías '!$L$41:$N$41">
      <cdr:nvSpPr>
        <cdr:cNvPr id="2" name="1 CuadroTexto"/>
        <cdr:cNvSpPr txBox="1"/>
      </cdr:nvSpPr>
      <cdr:spPr>
        <a:xfrm xmlns:a="http://schemas.openxmlformats.org/drawingml/2006/main">
          <a:off x="352425" y="0"/>
          <a:ext cx="4452798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7AF4F17F-CE38-4684-87AF-0207542671A4}" type="TxLink">
            <a:rPr lang="es-ES" sz="1600" b="1"/>
            <a:pPr algn="ctr"/>
            <a:t>DISTRIBUCIÓN DE TURISTAS  ALOJADOS EN ADEJE POR CATEGORÍA </a:t>
          </a:fld>
          <a:endParaRPr lang="es-ES" sz="1600" b="1"/>
        </a:p>
      </cdr:txBody>
    </cdr:sp>
  </cdr:relSizeAnchor>
  <cdr:relSizeAnchor xmlns:cdr="http://schemas.openxmlformats.org/drawingml/2006/chartDrawing">
    <cdr:from>
      <cdr:x>0.07561</cdr:x>
      <cdr:y>0.50298</cdr:y>
    </cdr:from>
    <cdr:to>
      <cdr:x>0.27056</cdr:x>
      <cdr:y>0.57362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381000" y="1609725"/>
          <a:ext cx="982297" cy="2260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/>
            <a:t>Extrahotelero</a:t>
          </a:r>
        </a:p>
      </cdr:txBody>
    </cdr:sp>
  </cdr:relSizeAnchor>
  <cdr:relSizeAnchor xmlns:cdr="http://schemas.openxmlformats.org/drawingml/2006/chartDrawing">
    <cdr:from>
      <cdr:x>0.83859</cdr:x>
      <cdr:y>0.25135</cdr:y>
    </cdr:from>
    <cdr:to>
      <cdr:x>0.96172</cdr:x>
      <cdr:y>0.35348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4305300" y="885825"/>
          <a:ext cx="632166" cy="3599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1* y</a:t>
          </a:r>
          <a:r>
            <a:rPr lang="es-ES" sz="1000" baseline="0"/>
            <a:t>  2 *</a:t>
          </a:r>
          <a:endParaRPr lang="es-ES" sz="1000"/>
        </a:p>
      </cdr:txBody>
    </cdr:sp>
  </cdr:relSizeAnchor>
  <cdr:relSizeAnchor xmlns:cdr="http://schemas.openxmlformats.org/drawingml/2006/chartDrawing">
    <cdr:from>
      <cdr:x>0.35622</cdr:x>
      <cdr:y>0.50811</cdr:y>
    </cdr:from>
    <cdr:to>
      <cdr:x>0.53375</cdr:x>
      <cdr:y>0.56844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1828800" y="1790700"/>
          <a:ext cx="911442" cy="2126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ysClr val="windowText" lastClr="000000"/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0.85343</cdr:x>
      <cdr:y>0.38919</cdr:y>
    </cdr:from>
    <cdr:to>
      <cdr:x>0.94094</cdr:x>
      <cdr:y>0.48386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381500" y="1371600"/>
          <a:ext cx="449249" cy="33364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3*</a:t>
          </a:r>
        </a:p>
      </cdr:txBody>
    </cdr:sp>
  </cdr:relSizeAnchor>
  <cdr:relSizeAnchor xmlns:cdr="http://schemas.openxmlformats.org/drawingml/2006/chartDrawing">
    <cdr:from>
      <cdr:x>0.859</cdr:x>
      <cdr:y>0.4973</cdr:y>
    </cdr:from>
    <cdr:to>
      <cdr:x>0.9465</cdr:x>
      <cdr:y>0.59446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410075" y="1752600"/>
          <a:ext cx="449248" cy="34241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4*</a:t>
          </a:r>
        </a:p>
      </cdr:txBody>
    </cdr:sp>
  </cdr:relSizeAnchor>
  <cdr:relSizeAnchor xmlns:cdr="http://schemas.openxmlformats.org/drawingml/2006/chartDrawing">
    <cdr:from>
      <cdr:x>0.85343</cdr:x>
      <cdr:y>0.72162</cdr:y>
    </cdr:from>
    <cdr:to>
      <cdr:x>0.94629</cdr:x>
      <cdr:y>0.81787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4381500" y="2543175"/>
          <a:ext cx="476714" cy="33919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5*</a:t>
          </a:r>
        </a:p>
      </cdr:txBody>
    </cdr:sp>
  </cdr:relSizeAnchor>
  <cdr:relSizeAnchor xmlns:cdr="http://schemas.openxmlformats.org/drawingml/2006/chartDrawing">
    <cdr:from>
      <cdr:x>0</cdr:x>
      <cdr:y>0.95771</cdr:y>
    </cdr:from>
    <cdr:to>
      <cdr:x>0.62786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476625"/>
          <a:ext cx="3223428" cy="1490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142875</xdr:colOff>
      <xdr:row>21</xdr:row>
      <xdr:rowOff>95250</xdr:rowOff>
    </xdr:from>
    <xdr:to>
      <xdr:col>7</xdr:col>
      <xdr:colOff>504825</xdr:colOff>
      <xdr:row>22</xdr:row>
      <xdr:rowOff>266700</xdr:rowOff>
    </xdr:to>
    <xdr:sp macro="" textlink="">
      <xdr:nvSpPr>
        <xdr:cNvPr id="2" name="AutoShape 10">
          <a:hlinkClick xmlns:r="http://schemas.openxmlformats.org/officeDocument/2006/relationships" r:id="rId1" tooltip="Volver a menú principal"/>
        </xdr:cNvPr>
        <xdr:cNvSpPr>
          <a:spLocks noChangeAspect="1" noChangeArrowheads="1"/>
        </xdr:cNvSpPr>
      </xdr:nvSpPr>
      <xdr:spPr bwMode="auto">
        <a:xfrm rot="10800000">
          <a:off x="9229725" y="4838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11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0</xdr:colOff>
      <xdr:row>17</xdr:row>
      <xdr:rowOff>0</xdr:rowOff>
    </xdr:from>
    <xdr:to>
      <xdr:col>11</xdr:col>
      <xdr:colOff>361950</xdr:colOff>
      <xdr:row>42</xdr:row>
      <xdr:rowOff>171450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01100" y="3514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114300</xdr:colOff>
      <xdr:row>20</xdr:row>
      <xdr:rowOff>95250</xdr:rowOff>
    </xdr:from>
    <xdr:to>
      <xdr:col>11</xdr:col>
      <xdr:colOff>476250</xdr:colOff>
      <xdr:row>22</xdr:row>
      <xdr:rowOff>76200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05825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2</xdr:row>
      <xdr:rowOff>104775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142875</xdr:colOff>
      <xdr:row>21</xdr:row>
      <xdr:rowOff>95250</xdr:rowOff>
    </xdr:from>
    <xdr:to>
      <xdr:col>7</xdr:col>
      <xdr:colOff>504825</xdr:colOff>
      <xdr:row>22</xdr:row>
      <xdr:rowOff>266700</xdr:rowOff>
    </xdr:to>
    <xdr:sp macro="" textlink="">
      <xdr:nvSpPr>
        <xdr:cNvPr id="2" name="AutoShape 10">
          <a:hlinkClick xmlns:r="http://schemas.openxmlformats.org/officeDocument/2006/relationships" r:id="rId1" tooltip="Volver a menú principal"/>
        </xdr:cNvPr>
        <xdr:cNvSpPr>
          <a:spLocks noChangeAspect="1" noChangeArrowheads="1"/>
        </xdr:cNvSpPr>
      </xdr:nvSpPr>
      <xdr:spPr bwMode="auto">
        <a:xfrm rot="10800000">
          <a:off x="9229725" y="4838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11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184150</xdr:colOff>
      <xdr:row>13</xdr:row>
      <xdr:rowOff>9525</xdr:rowOff>
    </xdr:from>
    <xdr:to>
      <xdr:col>14</xdr:col>
      <xdr:colOff>546100</xdr:colOff>
      <xdr:row>14</xdr:row>
      <xdr:rowOff>180975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90325" y="3638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158750</xdr:colOff>
      <xdr:row>30</xdr:row>
      <xdr:rowOff>82550</xdr:rowOff>
    </xdr:from>
    <xdr:to>
      <xdr:col>14</xdr:col>
      <xdr:colOff>520700</xdr:colOff>
      <xdr:row>32</xdr:row>
      <xdr:rowOff>63500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464925" y="727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155575</xdr:colOff>
      <xdr:row>47</xdr:row>
      <xdr:rowOff>130175</xdr:rowOff>
    </xdr:from>
    <xdr:to>
      <xdr:col>14</xdr:col>
      <xdr:colOff>517525</xdr:colOff>
      <xdr:row>49</xdr:row>
      <xdr:rowOff>111125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461750" y="1088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180975</xdr:colOff>
      <xdr:row>66</xdr:row>
      <xdr:rowOff>6350</xdr:rowOff>
    </xdr:from>
    <xdr:to>
      <xdr:col>14</xdr:col>
      <xdr:colOff>542925</xdr:colOff>
      <xdr:row>67</xdr:row>
      <xdr:rowOff>177800</xdr:rowOff>
    </xdr:to>
    <xdr:sp macro="" textlink="">
      <xdr:nvSpPr>
        <xdr:cNvPr id="5" name="AutoShape 3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1487150" y="1470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190500</xdr:colOff>
      <xdr:row>81</xdr:row>
      <xdr:rowOff>165100</xdr:rowOff>
    </xdr:from>
    <xdr:to>
      <xdr:col>14</xdr:col>
      <xdr:colOff>552450</xdr:colOff>
      <xdr:row>83</xdr:row>
      <xdr:rowOff>146050</xdr:rowOff>
    </xdr:to>
    <xdr:sp macro="" textlink="">
      <xdr:nvSpPr>
        <xdr:cNvPr id="6" name="AutoShape 3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1496675" y="18072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155575</xdr:colOff>
      <xdr:row>100</xdr:row>
      <xdr:rowOff>50800</xdr:rowOff>
    </xdr:from>
    <xdr:to>
      <xdr:col>14</xdr:col>
      <xdr:colOff>517525</xdr:colOff>
      <xdr:row>102</xdr:row>
      <xdr:rowOff>31750</xdr:rowOff>
    </xdr:to>
    <xdr:sp macro="" textlink="">
      <xdr:nvSpPr>
        <xdr:cNvPr id="7" name="AutoShape 3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11461750" y="21872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168275</xdr:colOff>
      <xdr:row>117</xdr:row>
      <xdr:rowOff>111125</xdr:rowOff>
    </xdr:from>
    <xdr:to>
      <xdr:col>14</xdr:col>
      <xdr:colOff>530225</xdr:colOff>
      <xdr:row>119</xdr:row>
      <xdr:rowOff>92075</xdr:rowOff>
    </xdr:to>
    <xdr:sp macro="" textlink="">
      <xdr:nvSpPr>
        <xdr:cNvPr id="8" name="AutoShape 3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11474450" y="25466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104775</xdr:colOff>
      <xdr:row>135</xdr:row>
      <xdr:rowOff>133350</xdr:rowOff>
    </xdr:from>
    <xdr:to>
      <xdr:col>14</xdr:col>
      <xdr:colOff>466725</xdr:colOff>
      <xdr:row>137</xdr:row>
      <xdr:rowOff>114300</xdr:rowOff>
    </xdr:to>
    <xdr:sp macro="" textlink="">
      <xdr:nvSpPr>
        <xdr:cNvPr id="9" name="AutoShape 3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11410950" y="29203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114300</xdr:colOff>
      <xdr:row>152</xdr:row>
      <xdr:rowOff>133350</xdr:rowOff>
    </xdr:from>
    <xdr:to>
      <xdr:col>14</xdr:col>
      <xdr:colOff>476250</xdr:colOff>
      <xdr:row>154</xdr:row>
      <xdr:rowOff>114300</xdr:rowOff>
    </xdr:to>
    <xdr:sp macro="" textlink="">
      <xdr:nvSpPr>
        <xdr:cNvPr id="10" name="AutoShape 3">
          <a:hlinkClick xmlns:r="http://schemas.openxmlformats.org/officeDocument/2006/relationships" r:id="rId9" tooltip="Volver menú alojados"/>
        </xdr:cNvPr>
        <xdr:cNvSpPr>
          <a:spLocks noChangeArrowheads="1"/>
        </xdr:cNvSpPr>
      </xdr:nvSpPr>
      <xdr:spPr bwMode="auto">
        <a:xfrm rot="10800000">
          <a:off x="11420475" y="32775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177800</xdr:colOff>
      <xdr:row>171</xdr:row>
      <xdr:rowOff>66675</xdr:rowOff>
    </xdr:from>
    <xdr:to>
      <xdr:col>14</xdr:col>
      <xdr:colOff>539750</xdr:colOff>
      <xdr:row>173</xdr:row>
      <xdr:rowOff>47625</xdr:rowOff>
    </xdr:to>
    <xdr:sp macro="" textlink="">
      <xdr:nvSpPr>
        <xdr:cNvPr id="11" name="AutoShape 3">
          <a:hlinkClick xmlns:r="http://schemas.openxmlformats.org/officeDocument/2006/relationships" r:id="rId10" tooltip="Volver menú alojados"/>
        </xdr:cNvPr>
        <xdr:cNvSpPr>
          <a:spLocks noChangeArrowheads="1"/>
        </xdr:cNvSpPr>
      </xdr:nvSpPr>
      <xdr:spPr bwMode="auto">
        <a:xfrm rot="10800000">
          <a:off x="11483975" y="36642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203200</xdr:colOff>
      <xdr:row>187</xdr:row>
      <xdr:rowOff>114300</xdr:rowOff>
    </xdr:from>
    <xdr:to>
      <xdr:col>14</xdr:col>
      <xdr:colOff>565150</xdr:colOff>
      <xdr:row>189</xdr:row>
      <xdr:rowOff>95250</xdr:rowOff>
    </xdr:to>
    <xdr:sp macro="" textlink="">
      <xdr:nvSpPr>
        <xdr:cNvPr id="12" name="AutoShape 3">
          <a:hlinkClick xmlns:r="http://schemas.openxmlformats.org/officeDocument/2006/relationships" r:id="rId11" tooltip="Volver menú alojados"/>
        </xdr:cNvPr>
        <xdr:cNvSpPr>
          <a:spLocks noChangeArrowheads="1"/>
        </xdr:cNvSpPr>
      </xdr:nvSpPr>
      <xdr:spPr bwMode="auto">
        <a:xfrm rot="10800000">
          <a:off x="11509375" y="40062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204</xdr:row>
      <xdr:rowOff>184150</xdr:rowOff>
    </xdr:from>
    <xdr:to>
      <xdr:col>14</xdr:col>
      <xdr:colOff>546100</xdr:colOff>
      <xdr:row>206</xdr:row>
      <xdr:rowOff>165100</xdr:rowOff>
    </xdr:to>
    <xdr:sp macro="" textlink="">
      <xdr:nvSpPr>
        <xdr:cNvPr id="13" name="AutoShape 3">
          <a:hlinkClick xmlns:r="http://schemas.openxmlformats.org/officeDocument/2006/relationships" r:id="rId12" tooltip="Volver menú alojados"/>
        </xdr:cNvPr>
        <xdr:cNvSpPr>
          <a:spLocks noChangeArrowheads="1"/>
        </xdr:cNvSpPr>
      </xdr:nvSpPr>
      <xdr:spPr bwMode="auto">
        <a:xfrm rot="10800000">
          <a:off x="11490325" y="43656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187325</xdr:colOff>
      <xdr:row>222</xdr:row>
      <xdr:rowOff>101600</xdr:rowOff>
    </xdr:from>
    <xdr:to>
      <xdr:col>14</xdr:col>
      <xdr:colOff>549275</xdr:colOff>
      <xdr:row>224</xdr:row>
      <xdr:rowOff>82550</xdr:rowOff>
    </xdr:to>
    <xdr:sp macro="" textlink="">
      <xdr:nvSpPr>
        <xdr:cNvPr id="14" name="AutoShape 3">
          <a:hlinkClick xmlns:r="http://schemas.openxmlformats.org/officeDocument/2006/relationships" r:id="rId13" tooltip="Volver menú alojados"/>
        </xdr:cNvPr>
        <xdr:cNvSpPr>
          <a:spLocks noChangeArrowheads="1"/>
        </xdr:cNvSpPr>
      </xdr:nvSpPr>
      <xdr:spPr bwMode="auto">
        <a:xfrm rot="10800000">
          <a:off x="11493500" y="47297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222250</xdr:colOff>
      <xdr:row>240</xdr:row>
      <xdr:rowOff>6350</xdr:rowOff>
    </xdr:from>
    <xdr:to>
      <xdr:col>14</xdr:col>
      <xdr:colOff>584200</xdr:colOff>
      <xdr:row>241</xdr:row>
      <xdr:rowOff>177800</xdr:rowOff>
    </xdr:to>
    <xdr:sp macro="" textlink="">
      <xdr:nvSpPr>
        <xdr:cNvPr id="15" name="AutoShape 3">
          <a:hlinkClick xmlns:r="http://schemas.openxmlformats.org/officeDocument/2006/relationships" r:id="rId14" tooltip="Volver menú alojados"/>
        </xdr:cNvPr>
        <xdr:cNvSpPr>
          <a:spLocks noChangeArrowheads="1"/>
        </xdr:cNvSpPr>
      </xdr:nvSpPr>
      <xdr:spPr bwMode="auto">
        <a:xfrm rot="10800000">
          <a:off x="11528425" y="50936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120650</xdr:colOff>
      <xdr:row>257</xdr:row>
      <xdr:rowOff>31750</xdr:rowOff>
    </xdr:from>
    <xdr:to>
      <xdr:col>14</xdr:col>
      <xdr:colOff>482600</xdr:colOff>
      <xdr:row>259</xdr:row>
      <xdr:rowOff>12700</xdr:rowOff>
    </xdr:to>
    <xdr:sp macro="" textlink="">
      <xdr:nvSpPr>
        <xdr:cNvPr id="16" name="AutoShape 3">
          <a:hlinkClick xmlns:r="http://schemas.openxmlformats.org/officeDocument/2006/relationships" r:id="rId15" tooltip="Volver menú alojados"/>
        </xdr:cNvPr>
        <xdr:cNvSpPr>
          <a:spLocks noChangeArrowheads="1"/>
        </xdr:cNvSpPr>
      </xdr:nvSpPr>
      <xdr:spPr bwMode="auto">
        <a:xfrm rot="10800000">
          <a:off x="11426825" y="5450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149225</xdr:colOff>
      <xdr:row>275</xdr:row>
      <xdr:rowOff>19050</xdr:rowOff>
    </xdr:from>
    <xdr:to>
      <xdr:col>14</xdr:col>
      <xdr:colOff>511175</xdr:colOff>
      <xdr:row>277</xdr:row>
      <xdr:rowOff>0</xdr:rowOff>
    </xdr:to>
    <xdr:sp macro="" textlink="">
      <xdr:nvSpPr>
        <xdr:cNvPr id="17" name="AutoShape 3">
          <a:hlinkClick xmlns:r="http://schemas.openxmlformats.org/officeDocument/2006/relationships" r:id="rId16" tooltip="Volver menú alojados"/>
        </xdr:cNvPr>
        <xdr:cNvSpPr>
          <a:spLocks noChangeArrowheads="1"/>
        </xdr:cNvSpPr>
      </xdr:nvSpPr>
      <xdr:spPr bwMode="auto">
        <a:xfrm rot="10800000">
          <a:off x="11455400" y="58159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0</xdr:row>
      <xdr:rowOff>692150</xdr:rowOff>
    </xdr:to>
    <xdr:pic>
      <xdr:nvPicPr>
        <xdr:cNvPr id="18" name="Picture 3" descr="MARCA TENERIFE">
          <a:hlinkClick xmlns:r="http://schemas.openxmlformats.org/officeDocument/2006/relationships" r:id="rId17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0"/>
          <a:ext cx="8953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3</xdr:row>
      <xdr:rowOff>85725</xdr:rowOff>
    </xdr:from>
    <xdr:to>
      <xdr:col>13</xdr:col>
      <xdr:colOff>866775</xdr:colOff>
      <xdr:row>15</xdr:row>
      <xdr:rowOff>95250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7</xdr:col>
      <xdr:colOff>161925</xdr:colOff>
      <xdr:row>21</xdr:row>
      <xdr:rowOff>142875</xdr:rowOff>
    </xdr:from>
    <xdr:to>
      <xdr:col>13</xdr:col>
      <xdr:colOff>942975</xdr:colOff>
      <xdr:row>33</xdr:row>
      <xdr:rowOff>161925</xdr:rowOff>
    </xdr:to>
    <xdr:graphicFrame macro="">
      <xdr:nvGraphicFramePr>
        <xdr:cNvPr id="20" name="1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7</xdr:col>
      <xdr:colOff>228600</xdr:colOff>
      <xdr:row>39</xdr:row>
      <xdr:rowOff>19050</xdr:rowOff>
    </xdr:from>
    <xdr:to>
      <xdr:col>13</xdr:col>
      <xdr:colOff>1009650</xdr:colOff>
      <xdr:row>51</xdr:row>
      <xdr:rowOff>38100</xdr:rowOff>
    </xdr:to>
    <xdr:graphicFrame macro="">
      <xdr:nvGraphicFramePr>
        <xdr:cNvPr id="21" name="2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7</xdr:col>
      <xdr:colOff>238125</xdr:colOff>
      <xdr:row>57</xdr:row>
      <xdr:rowOff>133350</xdr:rowOff>
    </xdr:from>
    <xdr:to>
      <xdr:col>13</xdr:col>
      <xdr:colOff>1019175</xdr:colOff>
      <xdr:row>69</xdr:row>
      <xdr:rowOff>161925</xdr:rowOff>
    </xdr:to>
    <xdr:graphicFrame macro="">
      <xdr:nvGraphicFramePr>
        <xdr:cNvPr id="22" name="2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7</xdr:col>
      <xdr:colOff>152400</xdr:colOff>
      <xdr:row>75</xdr:row>
      <xdr:rowOff>85725</xdr:rowOff>
    </xdr:from>
    <xdr:to>
      <xdr:col>13</xdr:col>
      <xdr:colOff>933450</xdr:colOff>
      <xdr:row>87</xdr:row>
      <xdr:rowOff>95250</xdr:rowOff>
    </xdr:to>
    <xdr:graphicFrame macro="">
      <xdr:nvGraphicFramePr>
        <xdr:cNvPr id="23" name="2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7</xdr:col>
      <xdr:colOff>234950</xdr:colOff>
      <xdr:row>93</xdr:row>
      <xdr:rowOff>66675</xdr:rowOff>
    </xdr:from>
    <xdr:to>
      <xdr:col>13</xdr:col>
      <xdr:colOff>1016000</xdr:colOff>
      <xdr:row>105</xdr:row>
      <xdr:rowOff>95250</xdr:rowOff>
    </xdr:to>
    <xdr:graphicFrame macro="">
      <xdr:nvGraphicFramePr>
        <xdr:cNvPr id="24" name="2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7</xdr:col>
      <xdr:colOff>133350</xdr:colOff>
      <xdr:row>111</xdr:row>
      <xdr:rowOff>66675</xdr:rowOff>
    </xdr:from>
    <xdr:to>
      <xdr:col>13</xdr:col>
      <xdr:colOff>914400</xdr:colOff>
      <xdr:row>123</xdr:row>
      <xdr:rowOff>104775</xdr:rowOff>
    </xdr:to>
    <xdr:graphicFrame macro="">
      <xdr:nvGraphicFramePr>
        <xdr:cNvPr id="25" name="2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7</xdr:col>
      <xdr:colOff>133350</xdr:colOff>
      <xdr:row>129</xdr:row>
      <xdr:rowOff>85725</xdr:rowOff>
    </xdr:from>
    <xdr:to>
      <xdr:col>13</xdr:col>
      <xdr:colOff>914400</xdr:colOff>
      <xdr:row>141</xdr:row>
      <xdr:rowOff>114300</xdr:rowOff>
    </xdr:to>
    <xdr:graphicFrame macro="">
      <xdr:nvGraphicFramePr>
        <xdr:cNvPr id="26" name="2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7</xdr:col>
      <xdr:colOff>114300</xdr:colOff>
      <xdr:row>147</xdr:row>
      <xdr:rowOff>104775</xdr:rowOff>
    </xdr:from>
    <xdr:to>
      <xdr:col>13</xdr:col>
      <xdr:colOff>895350</xdr:colOff>
      <xdr:row>159</xdr:row>
      <xdr:rowOff>123825</xdr:rowOff>
    </xdr:to>
    <xdr:graphicFrame macro="">
      <xdr:nvGraphicFramePr>
        <xdr:cNvPr id="27" name="2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7</xdr:col>
      <xdr:colOff>152400</xdr:colOff>
      <xdr:row>165</xdr:row>
      <xdr:rowOff>38100</xdr:rowOff>
    </xdr:from>
    <xdr:to>
      <xdr:col>13</xdr:col>
      <xdr:colOff>933450</xdr:colOff>
      <xdr:row>177</xdr:row>
      <xdr:rowOff>66675</xdr:rowOff>
    </xdr:to>
    <xdr:graphicFrame macro="">
      <xdr:nvGraphicFramePr>
        <xdr:cNvPr id="28" name="2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7</xdr:col>
      <xdr:colOff>142875</xdr:colOff>
      <xdr:row>183</xdr:row>
      <xdr:rowOff>28575</xdr:rowOff>
    </xdr:from>
    <xdr:to>
      <xdr:col>13</xdr:col>
      <xdr:colOff>923925</xdr:colOff>
      <xdr:row>195</xdr:row>
      <xdr:rowOff>57150</xdr:rowOff>
    </xdr:to>
    <xdr:graphicFrame macro="">
      <xdr:nvGraphicFramePr>
        <xdr:cNvPr id="29" name="2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7</xdr:col>
      <xdr:colOff>219075</xdr:colOff>
      <xdr:row>201</xdr:row>
      <xdr:rowOff>38100</xdr:rowOff>
    </xdr:from>
    <xdr:to>
      <xdr:col>13</xdr:col>
      <xdr:colOff>1000125</xdr:colOff>
      <xdr:row>213</xdr:row>
      <xdr:rowOff>57150</xdr:rowOff>
    </xdr:to>
    <xdr:graphicFrame macro="">
      <xdr:nvGraphicFramePr>
        <xdr:cNvPr id="30" name="2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7</xdr:col>
      <xdr:colOff>104775</xdr:colOff>
      <xdr:row>219</xdr:row>
      <xdr:rowOff>28575</xdr:rowOff>
    </xdr:from>
    <xdr:to>
      <xdr:col>13</xdr:col>
      <xdr:colOff>885825</xdr:colOff>
      <xdr:row>231</xdr:row>
      <xdr:rowOff>47625</xdr:rowOff>
    </xdr:to>
    <xdr:graphicFrame macro="">
      <xdr:nvGraphicFramePr>
        <xdr:cNvPr id="31" name="3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7</xdr:col>
      <xdr:colOff>200025</xdr:colOff>
      <xdr:row>237</xdr:row>
      <xdr:rowOff>28575</xdr:rowOff>
    </xdr:from>
    <xdr:to>
      <xdr:col>13</xdr:col>
      <xdr:colOff>981075</xdr:colOff>
      <xdr:row>249</xdr:row>
      <xdr:rowOff>38100</xdr:rowOff>
    </xdr:to>
    <xdr:graphicFrame macro="">
      <xdr:nvGraphicFramePr>
        <xdr:cNvPr id="32" name="3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7</xdr:col>
      <xdr:colOff>142875</xdr:colOff>
      <xdr:row>255</xdr:row>
      <xdr:rowOff>38100</xdr:rowOff>
    </xdr:from>
    <xdr:to>
      <xdr:col>13</xdr:col>
      <xdr:colOff>923925</xdr:colOff>
      <xdr:row>267</xdr:row>
      <xdr:rowOff>47625</xdr:rowOff>
    </xdr:to>
    <xdr:graphicFrame macro="">
      <xdr:nvGraphicFramePr>
        <xdr:cNvPr id="33" name="3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oneCell">
    <xdr:from>
      <xdr:col>7</xdr:col>
      <xdr:colOff>133350</xdr:colOff>
      <xdr:row>273</xdr:row>
      <xdr:rowOff>47625</xdr:rowOff>
    </xdr:from>
    <xdr:to>
      <xdr:col>13</xdr:col>
      <xdr:colOff>914400</xdr:colOff>
      <xdr:row>285</xdr:row>
      <xdr:rowOff>76200</xdr:rowOff>
    </xdr:to>
    <xdr:graphicFrame macro="">
      <xdr:nvGraphicFramePr>
        <xdr:cNvPr id="34" name="3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0.09609</cdr:x>
      <cdr:y>0</cdr:y>
    </cdr:from>
    <cdr:to>
      <cdr:x>0.92072</cdr:x>
      <cdr:y>0.18403</cdr:y>
    </cdr:to>
    <cdr:sp macro="" textlink="'graficas evol mensual merc'!$B$4:$G$4">
      <cdr:nvSpPr>
        <cdr:cNvPr id="5" name="1 CuadroTexto"/>
        <cdr:cNvSpPr txBox="1"/>
      </cdr:nvSpPr>
      <cdr:spPr>
        <a:xfrm xmlns:a="http://schemas.openxmlformats.org/drawingml/2006/main">
          <a:off x="514364" y="0"/>
          <a:ext cx="4414286" cy="4960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977C84F-8AD2-4EAA-88C2-40B999A40982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TOTAL TURISTAS</a:t>
          </a:fld>
          <a:endParaRPr lang="es-ES" sz="12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0.12456</cdr:x>
      <cdr:y>0</cdr:y>
    </cdr:from>
    <cdr:to>
      <cdr:x>0.95356</cdr:x>
      <cdr:y>0.18208</cdr:y>
    </cdr:to>
    <cdr:sp macro="" textlink="'graficas evol mensual merc'!$B$22:$G$22">
      <cdr:nvSpPr>
        <cdr:cNvPr id="8" name="1 CuadroTexto"/>
        <cdr:cNvSpPr txBox="1"/>
      </cdr:nvSpPr>
      <cdr:spPr>
        <a:xfrm xmlns:a="http://schemas.openxmlformats.org/drawingml/2006/main">
          <a:off x="666772" y="0"/>
          <a:ext cx="4437679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56433C9-2D30-40B3-B911-934738B84246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REINO UNIDO</a:t>
          </a:fld>
          <a:endParaRPr lang="es-ES" sz="12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0.92449</cdr:x>
      <cdr:y>0.18143</cdr:y>
    </cdr:to>
    <cdr:sp macro="" textlink="'graficas evol mensual merc'!$B$40:$G$40">
      <cdr:nvSpPr>
        <cdr:cNvPr id="12" name="1 CuadroTexto"/>
        <cdr:cNvSpPr txBox="1"/>
      </cdr:nvSpPr>
      <cdr:spPr>
        <a:xfrm xmlns:a="http://schemas.openxmlformats.org/drawingml/2006/main">
          <a:off x="495311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45B5B83-1B35-4C69-B258-97FE7E90D0BA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ESPAÑA</a:t>
          </a:fld>
          <a:endParaRPr lang="es-ES" sz="12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0.18078</cdr:y>
    </cdr:to>
    <cdr:sp macro="" textlink="'graficas evol mensual merc'!$B$58:$G$58">
      <cdr:nvSpPr>
        <cdr:cNvPr id="13" name="1 CuadroTexto"/>
        <cdr:cNvSpPr txBox="1"/>
      </cdr:nvSpPr>
      <cdr:spPr>
        <a:xfrm xmlns:a="http://schemas.openxmlformats.org/drawingml/2006/main">
          <a:off x="485775" y="0"/>
          <a:ext cx="4437691" cy="487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68479F8-A323-4463-A602-DDE016CE694B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ALEMANIA</a:t>
          </a:fld>
          <a:endParaRPr lang="es-ES" sz="12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0.93754</cdr:x>
      <cdr:y>0.18208</cdr:y>
    </cdr:to>
    <cdr:sp macro="" textlink="'graficas evol mensual merc'!$B$76:$G$76">
      <cdr:nvSpPr>
        <cdr:cNvPr id="8" name="1 CuadroTexto"/>
        <cdr:cNvSpPr txBox="1"/>
      </cdr:nvSpPr>
      <cdr:spPr>
        <a:xfrm xmlns:a="http://schemas.openxmlformats.org/drawingml/2006/main">
          <a:off x="581025" y="0"/>
          <a:ext cx="4437691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37594A3-36C1-4332-B8B9-EEBBFD869815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DINAMARCA</a:t>
          </a:fld>
          <a:endParaRPr lang="es-ES" sz="12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0.11744</cdr:x>
      <cdr:y>0</cdr:y>
    </cdr:from>
    <cdr:to>
      <cdr:x>0.94496</cdr:x>
      <cdr:y>0.18208</cdr:y>
    </cdr:to>
    <cdr:sp macro="" textlink="'graficas evol mensual merc'!$B$94:$G$94">
      <cdr:nvSpPr>
        <cdr:cNvPr id="9" name="1 CuadroTexto"/>
        <cdr:cNvSpPr txBox="1"/>
      </cdr:nvSpPr>
      <cdr:spPr>
        <a:xfrm xmlns:a="http://schemas.openxmlformats.org/drawingml/2006/main">
          <a:off x="628650" y="0"/>
          <a:ext cx="4429780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77C0A04-2352-4451-A245-7815BB40325B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FINLANDIA</a:t>
          </a:fld>
          <a:endParaRPr lang="es-ES" sz="12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</xdr:colOff>
      <xdr:row>14</xdr:row>
      <xdr:rowOff>66675</xdr:rowOff>
    </xdr:from>
    <xdr:to>
      <xdr:col>8</xdr:col>
      <xdr:colOff>428625</xdr:colOff>
      <xdr:row>16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77175" y="2924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0.91918</cdr:x>
      <cdr:y>0.18468</cdr:y>
    </cdr:to>
    <cdr:sp macro="" textlink="'graficas evol mensual merc'!$B$112:$G$112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406050" cy="4978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0F3AD1-BF1E-47E3-A8A1-676EE54B0340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NORUEGA</a:t>
          </a:fld>
          <a:endParaRPr lang="es-ES" sz="12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0:$G$130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B133E1E-F043-425F-A3ED-85560E91D541}" type="TxLink">
            <a:rPr lang="es-ES" sz="1200" b="1"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SUECIA</a:t>
          </a:fld>
          <a:endParaRPr lang="es-ES" sz="12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48:$G$148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C74590E-F404-4B65-BB7A-15BA133AEADE}" type="TxLink">
            <a:rPr lang="es-ES" sz="1200" b="1"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FRANCIA</a:t>
          </a:fld>
          <a:endParaRPr lang="es-ES" sz="12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6:$G$166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4866852-9F0E-49B4-B85F-A58FC19AE34B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HOLANDA</a:t>
          </a:fld>
          <a:endParaRPr lang="es-ES" sz="12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4:$G$184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352E3B5-DDD0-44E4-8F1E-83349E903510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BÉLGICA</a:t>
          </a:fld>
          <a:endParaRPr lang="es-ES" sz="12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2:$G$202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208F2C1-F01F-4DEC-BD70-3BBC6AF0D4CC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ITALIA</a:t>
          </a:fld>
          <a:endParaRPr lang="es-ES" sz="12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0:$G$220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3017C13-1D21-450D-B5DC-EF3DCCADE39A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RUSIA</a:t>
          </a:fld>
          <a:endParaRPr lang="es-ES" sz="12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38:$G$238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D48FD36-F60B-4CB0-B31E-9AA3444956F4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OTROS PAISES DEL ESTE</a:t>
          </a:fld>
          <a:endParaRPr lang="es-ES" sz="12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6:$G$256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5042E23-1BBB-47E2-B887-BBD6BD702F33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IRLANDA</a:t>
          </a:fld>
          <a:endParaRPr lang="es-ES" sz="12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4:$G$274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8DB7F67-D3EC-4AA1-BF60-F55AB6A7E495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SUIZA</a:t>
          </a:fld>
          <a:endParaRPr lang="es-ES" sz="12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1</xdr:col>
      <xdr:colOff>161925</xdr:colOff>
      <xdr:row>2</xdr:row>
      <xdr:rowOff>47625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333375</xdr:colOff>
      <xdr:row>68</xdr:row>
      <xdr:rowOff>57150</xdr:rowOff>
    </xdr:from>
    <xdr:to>
      <xdr:col>6</xdr:col>
      <xdr:colOff>695325</xdr:colOff>
      <xdr:row>69</xdr:row>
      <xdr:rowOff>228600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05450" y="399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25</xdr:col>
      <xdr:colOff>209550</xdr:colOff>
      <xdr:row>1</xdr:row>
      <xdr:rowOff>66675</xdr:rowOff>
    </xdr:from>
    <xdr:to>
      <xdr:col>25</xdr:col>
      <xdr:colOff>571500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485775</xdr:colOff>
      <xdr:row>0</xdr:row>
      <xdr:rowOff>171450</xdr:rowOff>
    </xdr:from>
    <xdr:to>
      <xdr:col>1</xdr:col>
      <xdr:colOff>847725</xdr:colOff>
      <xdr:row>2</xdr:row>
      <xdr:rowOff>152400</xdr:rowOff>
    </xdr:to>
    <xdr:sp macro="" textlink="">
      <xdr:nvSpPr>
        <xdr:cNvPr id="4" name="AutoShape 3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47775" y="171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419100</xdr:colOff>
      <xdr:row>28</xdr:row>
      <xdr:rowOff>171450</xdr:rowOff>
    </xdr:from>
    <xdr:to>
      <xdr:col>7</xdr:col>
      <xdr:colOff>781050</xdr:colOff>
      <xdr:row>30</xdr:row>
      <xdr:rowOff>76200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53325" y="52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200025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666750</xdr:colOff>
      <xdr:row>0</xdr:row>
      <xdr:rowOff>0</xdr:rowOff>
    </xdr:from>
    <xdr:to>
      <xdr:col>7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74676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200025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228600</xdr:colOff>
      <xdr:row>26</xdr:row>
      <xdr:rowOff>85725</xdr:rowOff>
    </xdr:from>
    <xdr:to>
      <xdr:col>5</xdr:col>
      <xdr:colOff>590550</xdr:colOff>
      <xdr:row>28</xdr:row>
      <xdr:rowOff>123825</xdr:rowOff>
    </xdr:to>
    <xdr:sp macro="" textlink="">
      <xdr:nvSpPr>
        <xdr:cNvPr id="4" name="AutoShape 3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876925" y="5276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200025</xdr:colOff>
      <xdr:row>21</xdr:row>
      <xdr:rowOff>0</xdr:rowOff>
    </xdr:from>
    <xdr:to>
      <xdr:col>10</xdr:col>
      <xdr:colOff>561975</xdr:colOff>
      <xdr:row>22</xdr:row>
      <xdr:rowOff>171450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58175" y="4362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9</xdr:col>
      <xdr:colOff>590550</xdr:colOff>
      <xdr:row>42</xdr:row>
      <xdr:rowOff>123826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0.97414</cdr:y>
    </cdr:from>
    <cdr:to>
      <cdr:x>0.62727</cdr:x>
      <cdr:y>0.99455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7534275"/>
          <a:ext cx="3801261" cy="157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0.06906</cdr:y>
    </cdr:to>
    <cdr:sp macro="" textlink="'Nacionalidades '!$C$4:$G$4">
      <cdr:nvSpPr>
        <cdr:cNvPr id="3" name="2 CuadroTexto"/>
        <cdr:cNvSpPr txBox="1"/>
      </cdr:nvSpPr>
      <cdr:spPr>
        <a:xfrm xmlns:a="http://schemas.openxmlformats.org/drawingml/2006/main">
          <a:off x="126078" y="0"/>
          <a:ext cx="6404913" cy="5867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133350</xdr:colOff>
      <xdr:row>20</xdr:row>
      <xdr:rowOff>174625</xdr:rowOff>
    </xdr:from>
    <xdr:to>
      <xdr:col>10</xdr:col>
      <xdr:colOff>495300</xdr:colOff>
      <xdr:row>22</xdr:row>
      <xdr:rowOff>155575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62925" y="4346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15875</xdr:colOff>
      <xdr:row>1</xdr:row>
      <xdr:rowOff>219075</xdr:rowOff>
    </xdr:from>
    <xdr:to>
      <xdr:col>9</xdr:col>
      <xdr:colOff>603250</xdr:colOff>
      <xdr:row>43</xdr:row>
      <xdr:rowOff>152401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0.97414</cdr:y>
    </cdr:from>
    <cdr:to>
      <cdr:x>0.62727</cdr:x>
      <cdr:y>0.99455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7534275"/>
          <a:ext cx="3801261" cy="157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0.06906</cdr:y>
    </cdr:to>
    <cdr:sp macro="" textlink="'Nacionalidades '!$C$4:$G$4">
      <cdr:nvSpPr>
        <cdr:cNvPr id="3" name="2 CuadroTexto"/>
        <cdr:cNvSpPr txBox="1"/>
      </cdr:nvSpPr>
      <cdr:spPr>
        <a:xfrm xmlns:a="http://schemas.openxmlformats.org/drawingml/2006/main">
          <a:off x="126078" y="0"/>
          <a:ext cx="6404913" cy="5867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76200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434975</xdr:colOff>
      <xdr:row>31</xdr:row>
      <xdr:rowOff>0</xdr:rowOff>
    </xdr:from>
    <xdr:to>
      <xdr:col>10</xdr:col>
      <xdr:colOff>34925</xdr:colOff>
      <xdr:row>33</xdr:row>
      <xdr:rowOff>38100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26350" y="5314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304800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438150</xdr:colOff>
      <xdr:row>31</xdr:row>
      <xdr:rowOff>19050</xdr:rowOff>
    </xdr:from>
    <xdr:to>
      <xdr:col>11</xdr:col>
      <xdr:colOff>38100</xdr:colOff>
      <xdr:row>33</xdr:row>
      <xdr:rowOff>0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77300" y="6496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695325</xdr:colOff>
      <xdr:row>31</xdr:row>
      <xdr:rowOff>161925</xdr:rowOff>
    </xdr:from>
    <xdr:to>
      <xdr:col>10</xdr:col>
      <xdr:colOff>295275</xdr:colOff>
      <xdr:row>33</xdr:row>
      <xdr:rowOff>161925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10575" y="6105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142875</xdr:rowOff>
    </xdr:to>
    <xdr:pic>
      <xdr:nvPicPr>
        <xdr:cNvPr id="3" name="Picture 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158750</xdr:colOff>
      <xdr:row>20</xdr:row>
      <xdr:rowOff>158750</xdr:rowOff>
    </xdr:from>
    <xdr:to>
      <xdr:col>10</xdr:col>
      <xdr:colOff>520700</xdr:colOff>
      <xdr:row>22</xdr:row>
      <xdr:rowOff>139700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07350" y="396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76200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714375</xdr:colOff>
      <xdr:row>31</xdr:row>
      <xdr:rowOff>95250</xdr:rowOff>
    </xdr:from>
    <xdr:to>
      <xdr:col>10</xdr:col>
      <xdr:colOff>314325</xdr:colOff>
      <xdr:row>33</xdr:row>
      <xdr:rowOff>133350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77150" y="5391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133350</xdr:colOff>
      <xdr:row>0</xdr:row>
      <xdr:rowOff>180975</xdr:rowOff>
    </xdr:from>
    <xdr:to>
      <xdr:col>1</xdr:col>
      <xdr:colOff>495300</xdr:colOff>
      <xdr:row>2</xdr:row>
      <xdr:rowOff>161925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90625" y="18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57150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13</xdr:row>
      <xdr:rowOff>19050</xdr:rowOff>
    </xdr:from>
    <xdr:to>
      <xdr:col>7</xdr:col>
      <xdr:colOff>485775</xdr:colOff>
      <xdr:row>15</xdr:row>
      <xdr:rowOff>76200</xdr:rowOff>
    </xdr:to>
    <xdr:sp macro="" textlink="">
      <xdr:nvSpPr>
        <xdr:cNvPr id="3" name="AutoShape 7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48275" y="1724025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250825</xdr:colOff>
      <xdr:row>29</xdr:row>
      <xdr:rowOff>88900</xdr:rowOff>
    </xdr:from>
    <xdr:to>
      <xdr:col>10</xdr:col>
      <xdr:colOff>612775</xdr:colOff>
      <xdr:row>30</xdr:row>
      <xdr:rowOff>66675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413625" y="50704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4" name="Picture 5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539750</xdr:colOff>
      <xdr:row>19</xdr:row>
      <xdr:rowOff>200025</xdr:rowOff>
    </xdr:from>
    <xdr:to>
      <xdr:col>7</xdr:col>
      <xdr:colOff>139700</xdr:colOff>
      <xdr:row>20</xdr:row>
      <xdr:rowOff>276225</xdr:rowOff>
    </xdr:to>
    <xdr:sp macro="" textlink="">
      <xdr:nvSpPr>
        <xdr:cNvPr id="2" name="AutoShape 4">
          <a:hlinkClick xmlns:r="http://schemas.openxmlformats.org/officeDocument/2006/relationships" r:id="rId1" tooltip="Volver a menú principal"/>
        </xdr:cNvPr>
        <xdr:cNvSpPr>
          <a:spLocks noChangeArrowheads="1"/>
        </xdr:cNvSpPr>
      </xdr:nvSpPr>
      <xdr:spPr bwMode="auto">
        <a:xfrm rot="10800000">
          <a:off x="86360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301625</xdr:colOff>
      <xdr:row>15</xdr:row>
      <xdr:rowOff>0</xdr:rowOff>
    </xdr:from>
    <xdr:to>
      <xdr:col>17</xdr:col>
      <xdr:colOff>663575</xdr:colOff>
      <xdr:row>15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225425</xdr:colOff>
      <xdr:row>2</xdr:row>
      <xdr:rowOff>295275</xdr:rowOff>
    </xdr:from>
    <xdr:to>
      <xdr:col>12</xdr:col>
      <xdr:colOff>587375</xdr:colOff>
      <xdr:row>4</xdr:row>
      <xdr:rowOff>123825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331450" y="104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38100</xdr:colOff>
      <xdr:row>2</xdr:row>
      <xdr:rowOff>9525</xdr:rowOff>
    </xdr:from>
    <xdr:to>
      <xdr:col>17</xdr:col>
      <xdr:colOff>400050</xdr:colOff>
      <xdr:row>3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74457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165100</xdr:colOff>
      <xdr:row>1</xdr:row>
      <xdr:rowOff>533400</xdr:rowOff>
    </xdr:from>
    <xdr:to>
      <xdr:col>11</xdr:col>
      <xdr:colOff>527050</xdr:colOff>
      <xdr:row>2</xdr:row>
      <xdr:rowOff>352425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090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200025</xdr:colOff>
      <xdr:row>2</xdr:row>
      <xdr:rowOff>9525</xdr:rowOff>
    </xdr:from>
    <xdr:to>
      <xdr:col>11</xdr:col>
      <xdr:colOff>561975</xdr:colOff>
      <xdr:row>2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4397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266700</xdr:colOff>
      <xdr:row>15</xdr:row>
      <xdr:rowOff>47625</xdr:rowOff>
    </xdr:from>
    <xdr:to>
      <xdr:col>7</xdr:col>
      <xdr:colOff>628650</xdr:colOff>
      <xdr:row>17</xdr:row>
      <xdr:rowOff>85725</xdr:rowOff>
    </xdr:to>
    <xdr:sp macro="" textlink="">
      <xdr:nvSpPr>
        <xdr:cNvPr id="2" name="AutoShape 1031">
          <a:hlinkClick xmlns:r="http://schemas.openxmlformats.org/officeDocument/2006/relationships" r:id="rId1" tooltip="Volver menú pernoctaciones"/>
        </xdr:cNvPr>
        <xdr:cNvSpPr>
          <a:spLocks noChangeArrowheads="1"/>
        </xdr:cNvSpPr>
      </xdr:nvSpPr>
      <xdr:spPr bwMode="auto">
        <a:xfrm rot="10800000">
          <a:off x="7115175" y="2981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103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161925</xdr:rowOff>
    </xdr:from>
    <xdr:to>
      <xdr:col>0</xdr:col>
      <xdr:colOff>904875</xdr:colOff>
      <xdr:row>2</xdr:row>
      <xdr:rowOff>104775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619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514350</xdr:colOff>
      <xdr:row>56</xdr:row>
      <xdr:rowOff>47625</xdr:rowOff>
    </xdr:from>
    <xdr:to>
      <xdr:col>7</xdr:col>
      <xdr:colOff>114300</xdr:colOff>
      <xdr:row>57</xdr:row>
      <xdr:rowOff>219075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86450" y="379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66675</xdr:colOff>
      <xdr:row>18</xdr:row>
      <xdr:rowOff>85725</xdr:rowOff>
    </xdr:from>
    <xdr:to>
      <xdr:col>7</xdr:col>
      <xdr:colOff>428625</xdr:colOff>
      <xdr:row>20</xdr:row>
      <xdr:rowOff>95250</xdr:rowOff>
    </xdr:to>
    <xdr:sp macro="" textlink="">
      <xdr:nvSpPr>
        <xdr:cNvPr id="2" name="AutoShape 4">
          <a:hlinkClick xmlns:r="http://schemas.openxmlformats.org/officeDocument/2006/relationships" r:id="rId1" tooltip="Volver menú pernoctaciones"/>
        </xdr:cNvPr>
        <xdr:cNvSpPr>
          <a:spLocks noChangeArrowheads="1"/>
        </xdr:cNvSpPr>
      </xdr:nvSpPr>
      <xdr:spPr bwMode="auto">
        <a:xfrm rot="10800000">
          <a:off x="6657975" y="3524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222250</xdr:colOff>
      <xdr:row>29</xdr:row>
      <xdr:rowOff>19050</xdr:rowOff>
    </xdr:from>
    <xdr:to>
      <xdr:col>9</xdr:col>
      <xdr:colOff>584200</xdr:colOff>
      <xdr:row>29</xdr:row>
      <xdr:rowOff>377825</xdr:rowOff>
    </xdr:to>
    <xdr:sp macro="" textlink="">
      <xdr:nvSpPr>
        <xdr:cNvPr id="3" name="AutoShape 5">
          <a:hlinkClick xmlns:r="http://schemas.openxmlformats.org/officeDocument/2006/relationships" r:id="rId2" tooltip="Volver menú pernoctaciones"/>
        </xdr:cNvPr>
        <xdr:cNvSpPr>
          <a:spLocks noChangeArrowheads="1"/>
        </xdr:cNvSpPr>
      </xdr:nvSpPr>
      <xdr:spPr bwMode="auto">
        <a:xfrm rot="10800000">
          <a:off x="7318375" y="474345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4" name="Picture 6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152400</xdr:colOff>
      <xdr:row>4</xdr:row>
      <xdr:rowOff>142875</xdr:rowOff>
    </xdr:from>
    <xdr:to>
      <xdr:col>6</xdr:col>
      <xdr:colOff>514350</xdr:colOff>
      <xdr:row>6</xdr:row>
      <xdr:rowOff>9525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498157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190500</xdr:colOff>
      <xdr:row>29</xdr:row>
      <xdr:rowOff>28575</xdr:rowOff>
    </xdr:from>
    <xdr:to>
      <xdr:col>9</xdr:col>
      <xdr:colOff>552450</xdr:colOff>
      <xdr:row>30</xdr:row>
      <xdr:rowOff>6350</xdr:rowOff>
    </xdr:to>
    <xdr:sp macro="" textlink="">
      <xdr:nvSpPr>
        <xdr:cNvPr id="2" name="AutoShape 3">
          <a:hlinkClick xmlns:r="http://schemas.openxmlformats.org/officeDocument/2006/relationships" r:id="rId1" tooltip="Volver menú pernoctaciones"/>
        </xdr:cNvPr>
        <xdr:cNvSpPr>
          <a:spLocks noChangeArrowheads="1"/>
        </xdr:cNvSpPr>
      </xdr:nvSpPr>
      <xdr:spPr bwMode="auto">
        <a:xfrm rot="10800000">
          <a:off x="7419975" y="47529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4" name="Picture 5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149225</xdr:colOff>
      <xdr:row>22</xdr:row>
      <xdr:rowOff>193675</xdr:rowOff>
    </xdr:from>
    <xdr:to>
      <xdr:col>6</xdr:col>
      <xdr:colOff>511175</xdr:colOff>
      <xdr:row>24</xdr:row>
      <xdr:rowOff>98425</xdr:rowOff>
    </xdr:to>
    <xdr:sp macro="" textlink="">
      <xdr:nvSpPr>
        <xdr:cNvPr id="2" name="AutoShape 3">
          <a:hlinkClick xmlns:r="http://schemas.openxmlformats.org/officeDocument/2006/relationships" r:id="rId1" tooltip="Volver a menú principal"/>
        </xdr:cNvPr>
        <xdr:cNvSpPr>
          <a:spLocks noChangeArrowheads="1"/>
        </xdr:cNvSpPr>
      </xdr:nvSpPr>
      <xdr:spPr bwMode="auto">
        <a:xfrm rot="10800000">
          <a:off x="8455025" y="5137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200025</xdr:colOff>
      <xdr:row>3</xdr:row>
      <xdr:rowOff>152400</xdr:rowOff>
    </xdr:from>
    <xdr:to>
      <xdr:col>12</xdr:col>
      <xdr:colOff>561975</xdr:colOff>
      <xdr:row>4</xdr:row>
      <xdr:rowOff>323850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096500" y="124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752475</xdr:colOff>
      <xdr:row>1</xdr:row>
      <xdr:rowOff>552450</xdr:rowOff>
    </xdr:from>
    <xdr:to>
      <xdr:col>17</xdr:col>
      <xdr:colOff>352425</xdr:colOff>
      <xdr:row>3</xdr:row>
      <xdr:rowOff>9525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6969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47625</xdr:colOff>
      <xdr:row>29</xdr:row>
      <xdr:rowOff>95250</xdr:rowOff>
    </xdr:from>
    <xdr:to>
      <xdr:col>11</xdr:col>
      <xdr:colOff>409575</xdr:colOff>
      <xdr:row>55</xdr:row>
      <xdr:rowOff>76200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91575" y="3562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304800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295275</xdr:colOff>
      <xdr:row>2</xdr:row>
      <xdr:rowOff>19050</xdr:rowOff>
    </xdr:from>
    <xdr:to>
      <xdr:col>11</xdr:col>
      <xdr:colOff>657225</xdr:colOff>
      <xdr:row>2</xdr:row>
      <xdr:rowOff>381000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039225" y="400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11</xdr:row>
      <xdr:rowOff>76200</xdr:rowOff>
    </xdr:from>
    <xdr:to>
      <xdr:col>6</xdr:col>
      <xdr:colOff>361950</xdr:colOff>
      <xdr:row>13</xdr:row>
      <xdr:rowOff>114300</xdr:rowOff>
    </xdr:to>
    <xdr:sp macro="" textlink="">
      <xdr:nvSpPr>
        <xdr:cNvPr id="2" name="AutoShape 3">
          <a:hlinkClick xmlns:r="http://schemas.openxmlformats.org/officeDocument/2006/relationships" r:id="rId1" tooltip="Volver menú Indice de Ocupación"/>
        </xdr:cNvPr>
        <xdr:cNvSpPr>
          <a:spLocks noChangeArrowheads="1"/>
        </xdr:cNvSpPr>
      </xdr:nvSpPr>
      <xdr:spPr bwMode="auto">
        <a:xfrm rot="10800000">
          <a:off x="6667500" y="2333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419100</xdr:colOff>
      <xdr:row>16</xdr:row>
      <xdr:rowOff>76200</xdr:rowOff>
    </xdr:from>
    <xdr:to>
      <xdr:col>7</xdr:col>
      <xdr:colOff>19050</xdr:colOff>
      <xdr:row>18</xdr:row>
      <xdr:rowOff>57150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76875" y="3943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38100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0</xdr:colOff>
      <xdr:row>19</xdr:row>
      <xdr:rowOff>0</xdr:rowOff>
    </xdr:from>
    <xdr:to>
      <xdr:col>6</xdr:col>
      <xdr:colOff>361950</xdr:colOff>
      <xdr:row>20</xdr:row>
      <xdr:rowOff>76200</xdr:rowOff>
    </xdr:to>
    <xdr:sp macro="" textlink="">
      <xdr:nvSpPr>
        <xdr:cNvPr id="3" name="AutoShape 3">
          <a:hlinkClick xmlns:r="http://schemas.openxmlformats.org/officeDocument/2006/relationships" r:id="rId3" tooltip="Volver menú Indice de Ocupación"/>
        </xdr:cNvPr>
        <xdr:cNvSpPr>
          <a:spLocks noChangeArrowheads="1"/>
        </xdr:cNvSpPr>
      </xdr:nvSpPr>
      <xdr:spPr bwMode="auto">
        <a:xfrm rot="10800000">
          <a:off x="6200775" y="3733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304800</xdr:colOff>
      <xdr:row>25</xdr:row>
      <xdr:rowOff>152400</xdr:rowOff>
    </xdr:from>
    <xdr:to>
      <xdr:col>9</xdr:col>
      <xdr:colOff>666750</xdr:colOff>
      <xdr:row>26</xdr:row>
      <xdr:rowOff>323850</xdr:rowOff>
    </xdr:to>
    <xdr:sp macro="" textlink="">
      <xdr:nvSpPr>
        <xdr:cNvPr id="4" name="AutoShape 3">
          <a:hlinkClick xmlns:r="http://schemas.openxmlformats.org/officeDocument/2006/relationships" r:id="rId4" tooltip="Volver menú Indice de Ocupación"/>
        </xdr:cNvPr>
        <xdr:cNvSpPr>
          <a:spLocks noChangeArrowheads="1"/>
        </xdr:cNvSpPr>
      </xdr:nvSpPr>
      <xdr:spPr bwMode="auto">
        <a:xfrm rot="10800000">
          <a:off x="7477125" y="4895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6:$E$6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/>
            <a:pPr algn="ctr"/>
            <a:t>ÍNDICES DE OCUPACIÓN POR ZONAS  Y TIPOLOGÍA DE ESTABLECIMIENTO (%)</a:t>
          </a:fld>
          <a:endParaRPr lang="es-ES" sz="1600" b="1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76200</xdr:colOff>
      <xdr:row>19</xdr:row>
      <xdr:rowOff>38100</xdr:rowOff>
    </xdr:from>
    <xdr:to>
      <xdr:col>5</xdr:col>
      <xdr:colOff>438150</xdr:colOff>
      <xdr:row>20</xdr:row>
      <xdr:rowOff>209550</xdr:rowOff>
    </xdr:to>
    <xdr:sp macro="" textlink="">
      <xdr:nvSpPr>
        <xdr:cNvPr id="2" name="AutoShape 4">
          <a:hlinkClick xmlns:r="http://schemas.openxmlformats.org/officeDocument/2006/relationships" r:id="rId1" tooltip="Volver menú Indice de Ocupación"/>
        </xdr:cNvPr>
        <xdr:cNvSpPr>
          <a:spLocks noChangeArrowheads="1"/>
        </xdr:cNvSpPr>
      </xdr:nvSpPr>
      <xdr:spPr bwMode="auto">
        <a:xfrm rot="10800000">
          <a:off x="5676900" y="3829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161925</xdr:colOff>
      <xdr:row>30</xdr:row>
      <xdr:rowOff>19050</xdr:rowOff>
    </xdr:from>
    <xdr:to>
      <xdr:col>9</xdr:col>
      <xdr:colOff>523875</xdr:colOff>
      <xdr:row>30</xdr:row>
      <xdr:rowOff>377825</xdr:rowOff>
    </xdr:to>
    <xdr:sp macro="" textlink="">
      <xdr:nvSpPr>
        <xdr:cNvPr id="3" name="AutoShape 3">
          <a:hlinkClick xmlns:r="http://schemas.openxmlformats.org/officeDocument/2006/relationships" r:id="rId2" tooltip="Volver menú Indice de Ocupación"/>
        </xdr:cNvPr>
        <xdr:cNvSpPr>
          <a:spLocks noChangeArrowheads="1"/>
        </xdr:cNvSpPr>
      </xdr:nvSpPr>
      <xdr:spPr bwMode="auto">
        <a:xfrm rot="10800000">
          <a:off x="7105650" y="49053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4" name="Picture 4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5</xdr:row>
      <xdr:rowOff>0</xdr:rowOff>
    </xdr:from>
    <xdr:to>
      <xdr:col>7</xdr:col>
      <xdr:colOff>361950</xdr:colOff>
      <xdr:row>6</xdr:row>
      <xdr:rowOff>9525</xdr:rowOff>
    </xdr:to>
    <xdr:sp macro="" textlink="">
      <xdr:nvSpPr>
        <xdr:cNvPr id="3" name="AutoShape 6">
          <a:hlinkClick xmlns:r="http://schemas.openxmlformats.org/officeDocument/2006/relationships" r:id="rId3" tooltip="Volver menú Indice de Ocupación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234950</xdr:colOff>
      <xdr:row>31</xdr:row>
      <xdr:rowOff>158750</xdr:rowOff>
    </xdr:from>
    <xdr:to>
      <xdr:col>9</xdr:col>
      <xdr:colOff>596900</xdr:colOff>
      <xdr:row>32</xdr:row>
      <xdr:rowOff>327025</xdr:rowOff>
    </xdr:to>
    <xdr:sp macro="" textlink="">
      <xdr:nvSpPr>
        <xdr:cNvPr id="2" name="AutoShape 3">
          <a:hlinkClick xmlns:r="http://schemas.openxmlformats.org/officeDocument/2006/relationships" r:id="rId1" tooltip="Volver menú Indice de Ocupación"/>
        </xdr:cNvPr>
        <xdr:cNvSpPr>
          <a:spLocks noChangeArrowheads="1"/>
        </xdr:cNvSpPr>
      </xdr:nvSpPr>
      <xdr:spPr bwMode="auto">
        <a:xfrm rot="10800000">
          <a:off x="7378700" y="517842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4" name="Picture 5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200025</xdr:colOff>
      <xdr:row>21</xdr:row>
      <xdr:rowOff>180975</xdr:rowOff>
    </xdr:from>
    <xdr:to>
      <xdr:col>7</xdr:col>
      <xdr:colOff>561975</xdr:colOff>
      <xdr:row>23</xdr:row>
      <xdr:rowOff>66675</xdr:rowOff>
    </xdr:to>
    <xdr:sp macro="" textlink="">
      <xdr:nvSpPr>
        <xdr:cNvPr id="2" name="AutoShape 3">
          <a:hlinkClick xmlns:r="http://schemas.openxmlformats.org/officeDocument/2006/relationships" r:id="rId1" tooltip="Volver a menú principal"/>
        </xdr:cNvPr>
        <xdr:cNvSpPr>
          <a:spLocks noChangeArrowheads="1"/>
        </xdr:cNvSpPr>
      </xdr:nvSpPr>
      <xdr:spPr bwMode="auto">
        <a:xfrm rot="10800000">
          <a:off x="9124950" y="5000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352425</xdr:colOff>
      <xdr:row>2</xdr:row>
      <xdr:rowOff>9525</xdr:rowOff>
    </xdr:from>
    <xdr:to>
      <xdr:col>12</xdr:col>
      <xdr:colOff>714375</xdr:colOff>
      <xdr:row>3</xdr:row>
      <xdr:rowOff>28575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2489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647700</xdr:colOff>
      <xdr:row>1</xdr:row>
      <xdr:rowOff>523875</xdr:rowOff>
    </xdr:from>
    <xdr:to>
      <xdr:col>11</xdr:col>
      <xdr:colOff>247650</xdr:colOff>
      <xdr:row>2</xdr:row>
      <xdr:rowOff>342900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62965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298450</xdr:colOff>
      <xdr:row>16</xdr:row>
      <xdr:rowOff>69850</xdr:rowOff>
    </xdr:from>
    <xdr:to>
      <xdr:col>8</xdr:col>
      <xdr:colOff>660400</xdr:colOff>
      <xdr:row>16</xdr:row>
      <xdr:rowOff>431800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394575" y="3813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295275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323850</xdr:colOff>
      <xdr:row>1</xdr:row>
      <xdr:rowOff>523875</xdr:rowOff>
    </xdr:from>
    <xdr:to>
      <xdr:col>10</xdr:col>
      <xdr:colOff>685800</xdr:colOff>
      <xdr:row>2</xdr:row>
      <xdr:rowOff>342900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058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123825</xdr:colOff>
      <xdr:row>14</xdr:row>
      <xdr:rowOff>66675</xdr:rowOff>
    </xdr:from>
    <xdr:to>
      <xdr:col>6</xdr:col>
      <xdr:colOff>485775</xdr:colOff>
      <xdr:row>16</xdr:row>
      <xdr:rowOff>104775</xdr:rowOff>
    </xdr:to>
    <xdr:sp macro="" textlink="">
      <xdr:nvSpPr>
        <xdr:cNvPr id="2" name="AutoShape 4">
          <a:hlinkClick xmlns:r="http://schemas.openxmlformats.org/officeDocument/2006/relationships" r:id="rId1" tooltip="Volver menú Estancias Medias"/>
        </xdr:cNvPr>
        <xdr:cNvSpPr>
          <a:spLocks noChangeArrowheads="1"/>
        </xdr:cNvSpPr>
      </xdr:nvSpPr>
      <xdr:spPr bwMode="auto">
        <a:xfrm rot="10800000">
          <a:off x="6724650" y="2781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180975</xdr:colOff>
      <xdr:row>20</xdr:row>
      <xdr:rowOff>161925</xdr:rowOff>
    </xdr:from>
    <xdr:to>
      <xdr:col>5</xdr:col>
      <xdr:colOff>542925</xdr:colOff>
      <xdr:row>21</xdr:row>
      <xdr:rowOff>333375</xdr:rowOff>
    </xdr:to>
    <xdr:sp macro="" textlink="">
      <xdr:nvSpPr>
        <xdr:cNvPr id="3" name="AutoShape 4">
          <a:hlinkClick xmlns:r="http://schemas.openxmlformats.org/officeDocument/2006/relationships" r:id="rId3" tooltip="Volver menú Estancias Medias"/>
        </xdr:cNvPr>
        <xdr:cNvSpPr>
          <a:spLocks noChangeArrowheads="1"/>
        </xdr:cNvSpPr>
      </xdr:nvSpPr>
      <xdr:spPr bwMode="auto">
        <a:xfrm rot="10800000">
          <a:off x="6096000" y="4162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228600</xdr:colOff>
      <xdr:row>26</xdr:row>
      <xdr:rowOff>171450</xdr:rowOff>
    </xdr:from>
    <xdr:to>
      <xdr:col>9</xdr:col>
      <xdr:colOff>590550</xdr:colOff>
      <xdr:row>27</xdr:row>
      <xdr:rowOff>342900</xdr:rowOff>
    </xdr:to>
    <xdr:sp macro="" textlink="">
      <xdr:nvSpPr>
        <xdr:cNvPr id="4" name="AutoShape 4">
          <a:hlinkClick xmlns:r="http://schemas.openxmlformats.org/officeDocument/2006/relationships" r:id="rId4" tooltip="Volver menú Estancias Medias"/>
        </xdr:cNvPr>
        <xdr:cNvSpPr>
          <a:spLocks noChangeArrowheads="1"/>
        </xdr:cNvSpPr>
      </xdr:nvSpPr>
      <xdr:spPr bwMode="auto">
        <a:xfrm rot="10800000">
          <a:off x="7458075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6:$E$6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/>
            <a:pPr algn="ctr"/>
            <a:t>ESTANCIAS MEDIAS POR ZONA Y TIPOLOGÍA DE ESTABLECIMIENTO</a:t>
          </a:fld>
          <a:endParaRPr lang="es-ES" sz="1600" b="1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238125</xdr:colOff>
      <xdr:row>16</xdr:row>
      <xdr:rowOff>95250</xdr:rowOff>
    </xdr:from>
    <xdr:to>
      <xdr:col>5</xdr:col>
      <xdr:colOff>600075</xdr:colOff>
      <xdr:row>18</xdr:row>
      <xdr:rowOff>133350</xdr:rowOff>
    </xdr:to>
    <xdr:sp macro="" textlink="">
      <xdr:nvSpPr>
        <xdr:cNvPr id="2" name="AutoShape 4">
          <a:hlinkClick xmlns:r="http://schemas.openxmlformats.org/officeDocument/2006/relationships" r:id="rId1" tooltip="Volver menú Estancias Medias"/>
        </xdr:cNvPr>
        <xdr:cNvSpPr>
          <a:spLocks noChangeArrowheads="1"/>
        </xdr:cNvSpPr>
      </xdr:nvSpPr>
      <xdr:spPr bwMode="auto">
        <a:xfrm rot="10800000">
          <a:off x="6324600" y="3476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193675</xdr:colOff>
      <xdr:row>26</xdr:row>
      <xdr:rowOff>187325</xdr:rowOff>
    </xdr:from>
    <xdr:to>
      <xdr:col>9</xdr:col>
      <xdr:colOff>555625</xdr:colOff>
      <xdr:row>27</xdr:row>
      <xdr:rowOff>355600</xdr:rowOff>
    </xdr:to>
    <xdr:sp macro="" textlink="">
      <xdr:nvSpPr>
        <xdr:cNvPr id="3" name="AutoShape 3">
          <a:hlinkClick xmlns:r="http://schemas.openxmlformats.org/officeDocument/2006/relationships" r:id="rId2" tooltip="Volver menú Estancias Medias"/>
        </xdr:cNvPr>
        <xdr:cNvSpPr>
          <a:spLocks noChangeArrowheads="1"/>
        </xdr:cNvSpPr>
      </xdr:nvSpPr>
      <xdr:spPr bwMode="auto">
        <a:xfrm rot="10800000">
          <a:off x="7337425" y="457835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4" name="Picture 4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295275</xdr:colOff>
      <xdr:row>5</xdr:row>
      <xdr:rowOff>9525</xdr:rowOff>
    </xdr:from>
    <xdr:to>
      <xdr:col>6</xdr:col>
      <xdr:colOff>657225</xdr:colOff>
      <xdr:row>6</xdr:row>
      <xdr:rowOff>19050</xdr:rowOff>
    </xdr:to>
    <xdr:sp macro="" textlink="">
      <xdr:nvSpPr>
        <xdr:cNvPr id="3" name="AutoShape 4">
          <a:hlinkClick xmlns:r="http://schemas.openxmlformats.org/officeDocument/2006/relationships" r:id="rId3" tooltip="Volver menú Estancias Medias"/>
        </xdr:cNvPr>
        <xdr:cNvSpPr>
          <a:spLocks noChangeArrowheads="1"/>
        </xdr:cNvSpPr>
      </xdr:nvSpPr>
      <xdr:spPr bwMode="auto">
        <a:xfrm rot="10800000">
          <a:off x="4953000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209550</xdr:colOff>
      <xdr:row>28</xdr:row>
      <xdr:rowOff>3175</xdr:rowOff>
    </xdr:from>
    <xdr:to>
      <xdr:col>10</xdr:col>
      <xdr:colOff>571500</xdr:colOff>
      <xdr:row>28</xdr:row>
      <xdr:rowOff>361950</xdr:rowOff>
    </xdr:to>
    <xdr:sp macro="" textlink="">
      <xdr:nvSpPr>
        <xdr:cNvPr id="2" name="AutoShape 3">
          <a:hlinkClick xmlns:r="http://schemas.openxmlformats.org/officeDocument/2006/relationships" r:id="rId1" tooltip="Volver menú Estancias Medias"/>
        </xdr:cNvPr>
        <xdr:cNvSpPr>
          <a:spLocks noChangeArrowheads="1"/>
        </xdr:cNvSpPr>
      </xdr:nvSpPr>
      <xdr:spPr bwMode="auto">
        <a:xfrm rot="10800000">
          <a:off x="7124700" y="46609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4" name="Picture 5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333375</xdr:colOff>
      <xdr:row>33</xdr:row>
      <xdr:rowOff>0</xdr:rowOff>
    </xdr:from>
    <xdr:to>
      <xdr:col>7</xdr:col>
      <xdr:colOff>695325</xdr:colOff>
      <xdr:row>34</xdr:row>
      <xdr:rowOff>114300</xdr:rowOff>
    </xdr:to>
    <xdr:sp macro="" textlink="">
      <xdr:nvSpPr>
        <xdr:cNvPr id="3" name="AutoShape 10">
          <a:hlinkClick xmlns:r="http://schemas.openxmlformats.org/officeDocument/2006/relationships" r:id="rId3" tooltip="Volver a menú principal"/>
        </xdr:cNvPr>
        <xdr:cNvSpPr>
          <a:spLocks noChangeAspect="1" noChangeArrowheads="1"/>
        </xdr:cNvSpPr>
      </xdr:nvSpPr>
      <xdr:spPr bwMode="auto">
        <a:xfrm rot="10800000">
          <a:off x="8467725" y="7677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ADEJE/Turismo%20en%20cifras/Turismo%20en%20cifras%20ADEJE%20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uristas%20por%20categor&#237;as%20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nú Principal"/>
      <sheetName val="INDICE"/>
      <sheetName val="Hoja9"/>
      <sheetName val="Menú Turismo alojado"/>
      <sheetName val="Menú tipología de establecimien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tabla dinámica municipios"/>
      <sheetName val="Alojados por municipio"/>
      <sheetName val="Gráfica alojados municipio"/>
      <sheetName val="Alojados tipología y categoría"/>
      <sheetName val="Gráfico aloj tipolog y categorí"/>
      <sheetName val="Pernoctaciones munic y tipologí"/>
      <sheetName val="Gráfica pernoct munic tipología"/>
      <sheetName val="pernocta municipio y catego"/>
      <sheetName val="Gráfico pernocta munic y cate"/>
      <sheetName val="IO municipio y Tipología"/>
      <sheetName val="gráfica IO MUNICIPI y tipología"/>
      <sheetName val="IO municipio y catego"/>
      <sheetName val="Gráfico IOa munic y ca "/>
      <sheetName val="EM MUNICIPIO y tipología"/>
      <sheetName val="gráfico EM MUNICIPI y tipología"/>
      <sheetName val="EM municipio y catego"/>
      <sheetName val="Gráfico EM munic y ca "/>
      <sheetName val="tabla dinámica nacionalidad zon"/>
      <sheetName val="Nacionalidad-Zona (datos)"/>
      <sheetName val="evolucion nac zonas"/>
      <sheetName val="Nacionalidad-Zona"/>
      <sheetName val="Menú Oferta Alojativa"/>
      <sheetName val="tabla dinámica oferta alojativa"/>
      <sheetName val="Ofe Aloj Estim zona cat "/>
      <sheetName val="Graf plazas estim zona tipologí"/>
      <sheetName val="Oferta Alojat Estim tipol categ"/>
      <sheetName val="Gráfica plazas estim tipo categ"/>
      <sheetName val="Gráfica distrib plazas est tipo"/>
      <sheetName val="Menú plazas autorizadas"/>
      <sheetName val="tabla dinámica plazas auto"/>
      <sheetName val="Plazas Autorizadas tipología"/>
      <sheetName val="Gráfic Plazas Autoriz tipología"/>
      <sheetName val="Cuotas Plazas Autorizadas05"/>
      <sheetName val="tabla dinámica plazas cat"/>
      <sheetName val="Distrib Plazas Autor 03_04-05"/>
      <sheetName val="Gráfica Distrib Plazas Autoriza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A4" t="str">
            <v>Suma de dato</v>
          </cell>
        </row>
      </sheetData>
      <sheetData sheetId="7">
        <row r="3">
          <cell r="C3" t="str">
            <v>TURISTAS ALOJADOS EN ADEJE POR TIPOLOGÍA DE ESTABLECIMIENTO</v>
          </cell>
        </row>
        <row r="4">
          <cell r="D4" t="str">
            <v>Hotelero</v>
          </cell>
          <cell r="E4" t="str">
            <v xml:space="preserve"> Extrahoteleros</v>
          </cell>
          <cell r="F4" t="str">
            <v xml:space="preserve"> TOTAL GENERAL</v>
          </cell>
        </row>
        <row r="30">
          <cell r="C30">
            <v>2009</v>
          </cell>
          <cell r="D30">
            <v>1052440</v>
          </cell>
          <cell r="E30">
            <v>596591</v>
          </cell>
          <cell r="F30">
            <v>1649031</v>
          </cell>
        </row>
        <row r="43">
          <cell r="C43">
            <v>2008</v>
          </cell>
          <cell r="D43">
            <v>1208135</v>
          </cell>
          <cell r="E43">
            <v>682665</v>
          </cell>
          <cell r="F43">
            <v>1890800</v>
          </cell>
        </row>
        <row r="56">
          <cell r="C56">
            <v>2007</v>
          </cell>
          <cell r="D56">
            <v>1195570</v>
          </cell>
          <cell r="E56">
            <v>672612</v>
          </cell>
          <cell r="F56">
            <v>1868182</v>
          </cell>
        </row>
        <row r="69">
          <cell r="C69">
            <v>2006</v>
          </cell>
          <cell r="D69">
            <v>1222491</v>
          </cell>
          <cell r="E69">
            <v>708928</v>
          </cell>
          <cell r="F69">
            <v>1931419</v>
          </cell>
        </row>
      </sheetData>
      <sheetData sheetId="8"/>
      <sheetData sheetId="9"/>
      <sheetData sheetId="10">
        <row r="5">
          <cell r="B5" t="str">
            <v>Suma de dato</v>
          </cell>
        </row>
        <row r="27">
          <cell r="B27" t="str">
            <v>Suma de dato</v>
          </cell>
        </row>
      </sheetData>
      <sheetData sheetId="11"/>
      <sheetData sheetId="12">
        <row r="5">
          <cell r="A5" t="str">
            <v>Suma de dato</v>
          </cell>
        </row>
      </sheetData>
      <sheetData sheetId="13"/>
      <sheetData sheetId="14"/>
      <sheetData sheetId="15">
        <row r="4">
          <cell r="F4" t="str">
            <v xml:space="preserve">acumulado julio 2010 </v>
          </cell>
        </row>
        <row r="6">
          <cell r="F6">
            <v>2766193</v>
          </cell>
        </row>
        <row r="7">
          <cell r="F7">
            <v>1677828</v>
          </cell>
        </row>
        <row r="8">
          <cell r="F8">
            <v>1088365</v>
          </cell>
        </row>
        <row r="10">
          <cell r="F10">
            <v>2187150</v>
          </cell>
        </row>
        <row r="11">
          <cell r="F11">
            <v>1249058</v>
          </cell>
        </row>
        <row r="12">
          <cell r="F12">
            <v>938092</v>
          </cell>
        </row>
        <row r="14">
          <cell r="F14">
            <v>978683</v>
          </cell>
        </row>
        <row r="15">
          <cell r="F15">
            <v>644123</v>
          </cell>
        </row>
        <row r="16">
          <cell r="F16">
            <v>334560</v>
          </cell>
        </row>
      </sheetData>
      <sheetData sheetId="16"/>
      <sheetData sheetId="17">
        <row r="4">
          <cell r="I4" t="str">
            <v>Suma de dato</v>
          </cell>
        </row>
      </sheetData>
      <sheetData sheetId="18"/>
      <sheetData sheetId="19"/>
      <sheetData sheetId="20">
        <row r="5">
          <cell r="A5" t="str">
            <v>Suma de dato</v>
          </cell>
        </row>
        <row r="25">
          <cell r="A25" t="str">
            <v>turistas</v>
          </cell>
        </row>
        <row r="44">
          <cell r="A44" t="str">
            <v>TURISTAS</v>
          </cell>
        </row>
      </sheetData>
      <sheetData sheetId="21">
        <row r="3">
          <cell r="C3" t="str">
            <v>TURISTAS  ALOJADOS EN ADEJE</v>
          </cell>
        </row>
        <row r="5">
          <cell r="C5" t="str">
            <v>Enero</v>
          </cell>
          <cell r="D5">
            <v>146244</v>
          </cell>
          <cell r="E5">
            <v>147131</v>
          </cell>
          <cell r="F5">
            <v>136344</v>
          </cell>
          <cell r="G5">
            <v>131537</v>
          </cell>
        </row>
        <row r="6">
          <cell r="C6" t="str">
            <v>Febrero</v>
          </cell>
          <cell r="D6">
            <v>151411</v>
          </cell>
          <cell r="E6">
            <v>168254</v>
          </cell>
          <cell r="F6">
            <v>133792</v>
          </cell>
          <cell r="G6">
            <v>125419</v>
          </cell>
        </row>
        <row r="7">
          <cell r="C7" t="str">
            <v>Marzo</v>
          </cell>
          <cell r="D7">
            <v>174351</v>
          </cell>
          <cell r="E7">
            <v>183447</v>
          </cell>
          <cell r="F7">
            <v>135071</v>
          </cell>
          <cell r="G7">
            <v>140329</v>
          </cell>
        </row>
        <row r="8">
          <cell r="C8" t="str">
            <v>abril</v>
          </cell>
          <cell r="D8">
            <v>160991</v>
          </cell>
          <cell r="E8">
            <v>154022</v>
          </cell>
          <cell r="F8">
            <v>143027</v>
          </cell>
          <cell r="G8">
            <v>156611</v>
          </cell>
        </row>
        <row r="9">
          <cell r="C9" t="str">
            <v>Mayo</v>
          </cell>
          <cell r="D9">
            <v>116128</v>
          </cell>
          <cell r="E9">
            <v>153505</v>
          </cell>
          <cell r="F9">
            <v>123885</v>
          </cell>
          <cell r="G9">
            <v>132519</v>
          </cell>
        </row>
        <row r="10">
          <cell r="C10" t="str">
            <v>Junio</v>
          </cell>
          <cell r="D10">
            <v>144506</v>
          </cell>
          <cell r="E10">
            <v>146363</v>
          </cell>
          <cell r="F10">
            <v>121387</v>
          </cell>
          <cell r="G10">
            <v>128897</v>
          </cell>
        </row>
        <row r="11">
          <cell r="C11" t="str">
            <v>Julio</v>
          </cell>
          <cell r="D11">
            <v>160319</v>
          </cell>
          <cell r="E11">
            <v>161273</v>
          </cell>
          <cell r="F11">
            <v>152332</v>
          </cell>
          <cell r="G11">
            <v>163371</v>
          </cell>
        </row>
        <row r="12">
          <cell r="C12" t="str">
            <v>Agosto</v>
          </cell>
          <cell r="D12">
            <v>185642</v>
          </cell>
          <cell r="E12">
            <v>187998</v>
          </cell>
          <cell r="F12">
            <v>170260</v>
          </cell>
        </row>
        <row r="13">
          <cell r="C13" t="str">
            <v>Septiembre</v>
          </cell>
          <cell r="D13">
            <v>142373</v>
          </cell>
          <cell r="E13">
            <v>137440</v>
          </cell>
          <cell r="F13">
            <v>124595</v>
          </cell>
        </row>
        <row r="14">
          <cell r="C14" t="str">
            <v>Octubre</v>
          </cell>
          <cell r="D14">
            <v>170847</v>
          </cell>
          <cell r="E14">
            <v>160443</v>
          </cell>
          <cell r="F14">
            <v>145358</v>
          </cell>
        </row>
        <row r="15">
          <cell r="C15" t="str">
            <v>Noviembre</v>
          </cell>
          <cell r="D15">
            <v>165776</v>
          </cell>
          <cell r="E15">
            <v>149092</v>
          </cell>
          <cell r="F15">
            <v>130907</v>
          </cell>
        </row>
        <row r="16">
          <cell r="C16" t="str">
            <v>Diciembre</v>
          </cell>
          <cell r="D16">
            <v>149594</v>
          </cell>
          <cell r="E16">
            <v>141832</v>
          </cell>
          <cell r="F16">
            <v>132073</v>
          </cell>
        </row>
        <row r="21">
          <cell r="C21" t="str">
            <v>TURISTAS  ALOJADOS EN LA ZONA SUR</v>
          </cell>
        </row>
        <row r="22">
          <cell r="D22">
            <v>2007</v>
          </cell>
          <cell r="E22">
            <v>2008</v>
          </cell>
          <cell r="F22">
            <v>2009</v>
          </cell>
          <cell r="G22">
            <v>2010</v>
          </cell>
        </row>
        <row r="23">
          <cell r="C23" t="str">
            <v>Enero</v>
          </cell>
          <cell r="D23">
            <v>312483</v>
          </cell>
          <cell r="E23">
            <v>314867</v>
          </cell>
          <cell r="F23">
            <v>299462</v>
          </cell>
          <cell r="G23">
            <v>301357</v>
          </cell>
        </row>
        <row r="24">
          <cell r="C24" t="str">
            <v>Febrero</v>
          </cell>
          <cell r="D24">
            <v>326346</v>
          </cell>
          <cell r="E24">
            <v>358356</v>
          </cell>
          <cell r="F24">
            <v>300505</v>
          </cell>
          <cell r="G24">
            <v>287470</v>
          </cell>
        </row>
        <row r="25">
          <cell r="C25" t="str">
            <v>Marzo</v>
          </cell>
          <cell r="D25">
            <v>373327</v>
          </cell>
          <cell r="E25">
            <v>387247</v>
          </cell>
          <cell r="F25">
            <v>317148</v>
          </cell>
          <cell r="G25">
            <v>319265</v>
          </cell>
        </row>
        <row r="26">
          <cell r="C26" t="str">
            <v>abril</v>
          </cell>
          <cell r="D26">
            <v>326903</v>
          </cell>
          <cell r="E26">
            <v>317058</v>
          </cell>
          <cell r="F26">
            <v>323645</v>
          </cell>
          <cell r="G26">
            <v>340243</v>
          </cell>
        </row>
        <row r="27">
          <cell r="C27" t="str">
            <v>Mayo</v>
          </cell>
          <cell r="D27">
            <v>252407</v>
          </cell>
          <cell r="E27">
            <v>308072</v>
          </cell>
          <cell r="F27">
            <v>270689</v>
          </cell>
          <cell r="G27">
            <v>282043</v>
          </cell>
        </row>
        <row r="28">
          <cell r="C28" t="str">
            <v>Junio</v>
          </cell>
          <cell r="D28">
            <v>303628</v>
          </cell>
          <cell r="E28">
            <v>303175</v>
          </cell>
          <cell r="F28">
            <v>266838</v>
          </cell>
          <cell r="G28">
            <v>287452</v>
          </cell>
        </row>
        <row r="29">
          <cell r="C29" t="str">
            <v>Julio</v>
          </cell>
          <cell r="D29">
            <v>338528</v>
          </cell>
          <cell r="E29">
            <v>350643</v>
          </cell>
          <cell r="F29">
            <v>339918</v>
          </cell>
          <cell r="G29">
            <v>369320</v>
          </cell>
        </row>
        <row r="30">
          <cell r="C30" t="str">
            <v>Agosto</v>
          </cell>
          <cell r="D30">
            <v>388074</v>
          </cell>
          <cell r="E30">
            <v>397222</v>
          </cell>
          <cell r="F30">
            <v>362794</v>
          </cell>
        </row>
        <row r="31">
          <cell r="C31" t="str">
            <v>Septiembre</v>
          </cell>
          <cell r="D31">
            <v>301595</v>
          </cell>
          <cell r="E31">
            <v>293148</v>
          </cell>
          <cell r="F31">
            <v>278508</v>
          </cell>
        </row>
        <row r="32">
          <cell r="C32" t="str">
            <v>Octubre</v>
          </cell>
          <cell r="D32">
            <v>357908</v>
          </cell>
          <cell r="E32">
            <v>343893</v>
          </cell>
          <cell r="F32">
            <v>323899</v>
          </cell>
        </row>
        <row r="33">
          <cell r="C33" t="str">
            <v>Noviembre</v>
          </cell>
          <cell r="D33">
            <v>350364</v>
          </cell>
          <cell r="E33">
            <v>331700</v>
          </cell>
          <cell r="F33">
            <v>287253</v>
          </cell>
        </row>
        <row r="34">
          <cell r="C34" t="str">
            <v>Diciembre</v>
          </cell>
          <cell r="D34">
            <v>328380</v>
          </cell>
          <cell r="E34">
            <v>311635</v>
          </cell>
          <cell r="F34">
            <v>293565</v>
          </cell>
        </row>
        <row r="40">
          <cell r="C40" t="str">
            <v>TURISTAS  ALOJADOS EN TENERIFE</v>
          </cell>
        </row>
        <row r="41">
          <cell r="D41">
            <v>2007</v>
          </cell>
          <cell r="E41">
            <v>2008</v>
          </cell>
          <cell r="F41">
            <v>2009</v>
          </cell>
          <cell r="G41">
            <v>2010</v>
          </cell>
        </row>
        <row r="42">
          <cell r="C42" t="str">
            <v>Enero</v>
          </cell>
          <cell r="D42">
            <v>407126</v>
          </cell>
          <cell r="E42">
            <v>409747</v>
          </cell>
          <cell r="F42">
            <v>380730</v>
          </cell>
          <cell r="G42">
            <v>382237</v>
          </cell>
        </row>
        <row r="43">
          <cell r="C43" t="str">
            <v>Febrero</v>
          </cell>
          <cell r="D43">
            <v>423886</v>
          </cell>
          <cell r="E43">
            <v>459918</v>
          </cell>
          <cell r="F43">
            <v>385582</v>
          </cell>
          <cell r="G43">
            <v>369547</v>
          </cell>
        </row>
        <row r="44">
          <cell r="C44" t="str">
            <v>Marzo</v>
          </cell>
          <cell r="D44">
            <v>489029</v>
          </cell>
          <cell r="E44">
            <v>508083</v>
          </cell>
          <cell r="F44">
            <v>409508</v>
          </cell>
          <cell r="G44">
            <v>404361</v>
          </cell>
        </row>
        <row r="45">
          <cell r="C45" t="str">
            <v>abril</v>
          </cell>
          <cell r="D45">
            <v>438237</v>
          </cell>
          <cell r="E45">
            <v>424514</v>
          </cell>
          <cell r="F45">
            <v>418430</v>
          </cell>
          <cell r="G45">
            <v>422549</v>
          </cell>
        </row>
        <row r="46">
          <cell r="C46" t="str">
            <v>Mayo</v>
          </cell>
          <cell r="D46">
            <v>341553</v>
          </cell>
          <cell r="E46">
            <v>413185</v>
          </cell>
          <cell r="F46">
            <v>350293</v>
          </cell>
          <cell r="G46">
            <v>361297</v>
          </cell>
        </row>
        <row r="47">
          <cell r="C47" t="str">
            <v>Junio</v>
          </cell>
          <cell r="D47">
            <v>411483</v>
          </cell>
          <cell r="E47">
            <v>402431</v>
          </cell>
          <cell r="F47">
            <v>349858</v>
          </cell>
          <cell r="G47">
            <v>374943</v>
          </cell>
        </row>
        <row r="48">
          <cell r="C48" t="str">
            <v>Julio</v>
          </cell>
          <cell r="D48">
            <v>466179</v>
          </cell>
          <cell r="E48">
            <v>467525</v>
          </cell>
          <cell r="F48">
            <v>434195</v>
          </cell>
          <cell r="G48">
            <v>451259</v>
          </cell>
        </row>
        <row r="49">
          <cell r="C49" t="str">
            <v>Agosto</v>
          </cell>
          <cell r="D49">
            <v>528592</v>
          </cell>
          <cell r="E49">
            <v>531765</v>
          </cell>
          <cell r="F49">
            <v>467782</v>
          </cell>
        </row>
        <row r="50">
          <cell r="C50" t="str">
            <v>Septiembre</v>
          </cell>
          <cell r="D50">
            <v>409689</v>
          </cell>
          <cell r="E50">
            <v>391359</v>
          </cell>
          <cell r="F50">
            <v>354214</v>
          </cell>
        </row>
        <row r="51">
          <cell r="C51" t="str">
            <v>Octubre</v>
          </cell>
          <cell r="D51">
            <v>467144</v>
          </cell>
          <cell r="E51">
            <v>441857</v>
          </cell>
          <cell r="F51">
            <v>404871</v>
          </cell>
        </row>
        <row r="52">
          <cell r="C52" t="str">
            <v>Noviembre</v>
          </cell>
          <cell r="D52">
            <v>457530</v>
          </cell>
          <cell r="E52">
            <v>431740</v>
          </cell>
          <cell r="F52">
            <v>371802</v>
          </cell>
        </row>
        <row r="53">
          <cell r="C53" t="str">
            <v>Diciembre</v>
          </cell>
          <cell r="D53">
            <v>438336</v>
          </cell>
          <cell r="E53">
            <v>410203</v>
          </cell>
          <cell r="F53">
            <v>380517</v>
          </cell>
        </row>
      </sheetData>
      <sheetData sheetId="22"/>
      <sheetData sheetId="23">
        <row r="4">
          <cell r="A4" t="str">
            <v>Suma de dato</v>
          </cell>
        </row>
        <row r="24">
          <cell r="A24" t="str">
            <v>PAIS/INDICADOR</v>
          </cell>
        </row>
        <row r="49">
          <cell r="A49" t="str">
            <v>Rótulos de fila</v>
          </cell>
        </row>
        <row r="70">
          <cell r="A70" t="str">
            <v>Suma de dato</v>
          </cell>
        </row>
      </sheetData>
      <sheetData sheetId="24"/>
      <sheetData sheetId="25"/>
      <sheetData sheetId="26">
        <row r="4">
          <cell r="A4" t="str">
            <v>Suma de dato</v>
          </cell>
        </row>
      </sheetData>
      <sheetData sheetId="27">
        <row r="3">
          <cell r="C3" t="str">
            <v xml:space="preserve">EVOLUCIÓN DEL TURISMO  ALOJADO EN ADEJE POR CATEGORÍA </v>
          </cell>
        </row>
        <row r="4">
          <cell r="D4" t="str">
            <v xml:space="preserve"> 1 * y 2 *</v>
          </cell>
          <cell r="E4" t="str">
            <v xml:space="preserve"> 3 *</v>
          </cell>
          <cell r="F4" t="str">
            <v xml:space="preserve"> 4 *</v>
          </cell>
          <cell r="G4" t="str">
            <v xml:space="preserve"> 5 *</v>
          </cell>
          <cell r="I4" t="str">
            <v>Extrahoteleros</v>
          </cell>
        </row>
        <row r="30">
          <cell r="C30">
            <v>2009</v>
          </cell>
          <cell r="D30">
            <v>16202</v>
          </cell>
          <cell r="E30">
            <v>177921</v>
          </cell>
          <cell r="F30">
            <v>712991</v>
          </cell>
          <cell r="G30">
            <v>145326</v>
          </cell>
          <cell r="I30">
            <v>596591</v>
          </cell>
        </row>
        <row r="43">
          <cell r="C43">
            <v>2008</v>
          </cell>
          <cell r="D43">
            <v>22704</v>
          </cell>
          <cell r="E43">
            <v>241394</v>
          </cell>
          <cell r="F43">
            <v>769419</v>
          </cell>
          <cell r="G43">
            <v>174618</v>
          </cell>
          <cell r="I43">
            <v>682665</v>
          </cell>
        </row>
        <row r="56">
          <cell r="C56">
            <v>2007</v>
          </cell>
          <cell r="D56">
            <v>20497</v>
          </cell>
          <cell r="E56">
            <v>234115</v>
          </cell>
          <cell r="F56">
            <v>757996</v>
          </cell>
          <cell r="G56">
            <v>182962</v>
          </cell>
          <cell r="I56">
            <v>672612</v>
          </cell>
        </row>
        <row r="69">
          <cell r="C69">
            <v>2006</v>
          </cell>
          <cell r="D69">
            <v>21187</v>
          </cell>
          <cell r="E69">
            <v>242176</v>
          </cell>
          <cell r="F69">
            <v>775718</v>
          </cell>
          <cell r="G69">
            <v>183410</v>
          </cell>
          <cell r="I69">
            <v>708928</v>
          </cell>
        </row>
      </sheetData>
      <sheetData sheetId="28"/>
      <sheetData sheetId="29"/>
      <sheetData sheetId="30"/>
      <sheetData sheetId="31"/>
      <sheetData sheetId="32">
        <row r="4">
          <cell r="A4" t="str">
            <v>Suma de dato</v>
          </cell>
        </row>
      </sheetData>
      <sheetData sheetId="33"/>
      <sheetData sheetId="34"/>
      <sheetData sheetId="35">
        <row r="4">
          <cell r="A4" t="str">
            <v>Suma de dato</v>
          </cell>
        </row>
      </sheetData>
      <sheetData sheetId="36">
        <row r="6">
          <cell r="A6" t="str">
            <v>Rótulos de fila</v>
          </cell>
        </row>
        <row r="27">
          <cell r="A27" t="str">
            <v>Rótulos de fila</v>
          </cell>
        </row>
        <row r="48">
          <cell r="A48" t="str">
            <v>Rótulos de fila</v>
          </cell>
        </row>
        <row r="69">
          <cell r="A69" t="str">
            <v>Rótulos de fila</v>
          </cell>
        </row>
        <row r="90">
          <cell r="A90" t="str">
            <v>Rótulos de fila</v>
          </cell>
        </row>
        <row r="111">
          <cell r="A111" t="str">
            <v>Rótulos de fila</v>
          </cell>
        </row>
        <row r="132">
          <cell r="A132" t="str">
            <v>Rótulos de fila</v>
          </cell>
        </row>
        <row r="153">
          <cell r="A153" t="str">
            <v>Rótulos de fila</v>
          </cell>
        </row>
        <row r="174">
          <cell r="A174" t="str">
            <v>Rótulos de fila</v>
          </cell>
        </row>
        <row r="195">
          <cell r="A195" t="str">
            <v>Rótulos de fila</v>
          </cell>
        </row>
        <row r="216">
          <cell r="A216" t="str">
            <v>Rótulos de fila</v>
          </cell>
        </row>
        <row r="237">
          <cell r="A237" t="str">
            <v>Rótulos de fila</v>
          </cell>
        </row>
        <row r="258">
          <cell r="A258" t="str">
            <v>Rótulos de fila</v>
          </cell>
        </row>
        <row r="279">
          <cell r="A279" t="str">
            <v>Rótulos de fila</v>
          </cell>
        </row>
        <row r="299">
          <cell r="A299" t="str">
            <v>Rótulos de fila</v>
          </cell>
        </row>
        <row r="319">
          <cell r="A319" t="str">
            <v>Suma de dato</v>
          </cell>
        </row>
      </sheetData>
      <sheetData sheetId="37">
        <row r="5">
          <cell r="A5" t="str">
            <v>Suma de dato</v>
          </cell>
        </row>
        <row r="6">
          <cell r="J6">
            <v>2010</v>
          </cell>
        </row>
        <row r="8">
          <cell r="J8">
            <v>325181</v>
          </cell>
          <cell r="K8">
            <v>2.8594835848561245E-2</v>
          </cell>
        </row>
        <row r="9">
          <cell r="J9">
            <v>217518</v>
          </cell>
          <cell r="K9">
            <v>0.12687862319779097</v>
          </cell>
        </row>
        <row r="10">
          <cell r="J10">
            <v>132424</v>
          </cell>
          <cell r="K10">
            <v>5.5322675762260722E-2</v>
          </cell>
        </row>
        <row r="11">
          <cell r="J11">
            <v>38165</v>
          </cell>
          <cell r="K11">
            <v>0.10039500619900239</v>
          </cell>
        </row>
        <row r="12">
          <cell r="J12">
            <v>33893</v>
          </cell>
          <cell r="K12">
            <v>-5.0775779980955581E-2</v>
          </cell>
        </row>
        <row r="13">
          <cell r="J13">
            <v>27631</v>
          </cell>
          <cell r="K13">
            <v>0.15979684351914036</v>
          </cell>
        </row>
        <row r="14">
          <cell r="J14">
            <v>26764</v>
          </cell>
          <cell r="K14">
            <v>-9.8308739303281448E-2</v>
          </cell>
        </row>
        <row r="15">
          <cell r="J15">
            <v>24738</v>
          </cell>
          <cell r="K15">
            <v>-1.9365770999757927E-3</v>
          </cell>
        </row>
        <row r="16">
          <cell r="J16">
            <v>21624</v>
          </cell>
          <cell r="K16">
            <v>-0.12802935602242027</v>
          </cell>
        </row>
        <row r="17">
          <cell r="J17">
            <v>23620</v>
          </cell>
          <cell r="K17">
            <v>5.0197856920546E-2</v>
          </cell>
        </row>
        <row r="18">
          <cell r="J18">
            <v>17803</v>
          </cell>
          <cell r="K18">
            <v>-0.24872346710554077</v>
          </cell>
        </row>
        <row r="19">
          <cell r="J19">
            <v>15663</v>
          </cell>
          <cell r="K19">
            <v>-0.2783357906376705</v>
          </cell>
        </row>
        <row r="20">
          <cell r="J20">
            <v>12278</v>
          </cell>
          <cell r="K20">
            <v>1.0534979423868314E-2</v>
          </cell>
        </row>
        <row r="21">
          <cell r="J21">
            <v>11874</v>
          </cell>
          <cell r="K21">
            <v>-0.13157317340744534</v>
          </cell>
        </row>
        <row r="22">
          <cell r="J22">
            <v>8031</v>
          </cell>
          <cell r="K22">
            <v>0.28805132317562149</v>
          </cell>
        </row>
        <row r="23">
          <cell r="J23">
            <v>7338</v>
          </cell>
          <cell r="K23">
            <v>-6.9021518473406417E-3</v>
          </cell>
        </row>
        <row r="24">
          <cell r="J24">
            <v>23752</v>
          </cell>
          <cell r="K24">
            <v>4.9301996819226014E-2</v>
          </cell>
        </row>
        <row r="25">
          <cell r="J25">
            <v>1920</v>
          </cell>
          <cell r="K25">
            <v>5.3208996160175534E-2</v>
          </cell>
        </row>
        <row r="26">
          <cell r="J26">
            <v>1682</v>
          </cell>
          <cell r="K26">
            <v>-0.13831967213114754</v>
          </cell>
        </row>
        <row r="27">
          <cell r="J27">
            <v>6784</v>
          </cell>
          <cell r="K27">
            <v>0.71399696816574032</v>
          </cell>
        </row>
        <row r="55">
          <cell r="K55">
            <v>2009</v>
          </cell>
        </row>
        <row r="57">
          <cell r="H57" t="str">
            <v>Reino Unido</v>
          </cell>
          <cell r="K57">
            <v>544895</v>
          </cell>
          <cell r="L57">
            <v>-0.18825045436939486</v>
          </cell>
        </row>
        <row r="58">
          <cell r="H58" t="str">
            <v>España</v>
          </cell>
          <cell r="K58">
            <v>366973</v>
          </cell>
          <cell r="L58">
            <v>-2.7551209688104514E-2</v>
          </cell>
        </row>
        <row r="59">
          <cell r="H59" t="str">
            <v>Alemania</v>
          </cell>
          <cell r="K59">
            <v>219052</v>
          </cell>
          <cell r="L59">
            <v>-0.18651495120248371</v>
          </cell>
        </row>
        <row r="60">
          <cell r="H60" t="str">
            <v>Bélgica</v>
          </cell>
          <cell r="K60">
            <v>60992</v>
          </cell>
          <cell r="L60">
            <v>4.5457661981487832E-2</v>
          </cell>
        </row>
        <row r="61">
          <cell r="H61" t="str">
            <v>Holanda</v>
          </cell>
          <cell r="K61">
            <v>59191</v>
          </cell>
          <cell r="L61">
            <v>-0.20579908491996404</v>
          </cell>
        </row>
        <row r="62">
          <cell r="H62" t="str">
            <v>Países del Este</v>
          </cell>
          <cell r="K62">
            <v>48190</v>
          </cell>
          <cell r="L62">
            <v>7.4638182102000308E-2</v>
          </cell>
        </row>
        <row r="63">
          <cell r="H63" t="str">
            <v>Suecia</v>
          </cell>
          <cell r="K63">
            <v>42005</v>
          </cell>
          <cell r="L63">
            <v>0.14398932403725692</v>
          </cell>
        </row>
        <row r="64">
          <cell r="H64" t="str">
            <v>Francia</v>
          </cell>
          <cell r="K64">
            <v>40507</v>
          </cell>
          <cell r="L64">
            <v>-0.12075103103972216</v>
          </cell>
        </row>
        <row r="65">
          <cell r="H65" t="str">
            <v>Rusia</v>
          </cell>
          <cell r="K65">
            <v>39786</v>
          </cell>
          <cell r="L65">
            <v>-0.32198364008179958</v>
          </cell>
        </row>
        <row r="66">
          <cell r="H66" t="str">
            <v>Italia</v>
          </cell>
          <cell r="K66">
            <v>39530</v>
          </cell>
          <cell r="L66">
            <v>-3.0533415082771305E-2</v>
          </cell>
        </row>
        <row r="67">
          <cell r="H67" t="str">
            <v>Dinamarca</v>
          </cell>
          <cell r="K67">
            <v>34497</v>
          </cell>
          <cell r="L67">
            <v>-0.22251521298174443</v>
          </cell>
        </row>
        <row r="68">
          <cell r="H68" t="str">
            <v>Irlanda</v>
          </cell>
          <cell r="K68">
            <v>32261</v>
          </cell>
          <cell r="L68">
            <v>-2.525908692630752E-2</v>
          </cell>
        </row>
        <row r="69">
          <cell r="H69" t="str">
            <v>Noruega</v>
          </cell>
          <cell r="K69">
            <v>22565</v>
          </cell>
          <cell r="L69">
            <v>-9.3301723791537755E-2</v>
          </cell>
        </row>
        <row r="70">
          <cell r="H70" t="str">
            <v>Finlandia</v>
          </cell>
          <cell r="K70">
            <v>22439</v>
          </cell>
          <cell r="L70">
            <v>9.1922141119221409E-2</v>
          </cell>
        </row>
        <row r="71">
          <cell r="H71" t="str">
            <v>Suiza</v>
          </cell>
          <cell r="K71">
            <v>13120</v>
          </cell>
          <cell r="L71">
            <v>0.13367320487341225</v>
          </cell>
        </row>
        <row r="72">
          <cell r="H72" t="str">
            <v>Austria</v>
          </cell>
          <cell r="K72">
            <v>10759</v>
          </cell>
          <cell r="L72">
            <v>-0.16050249687890136</v>
          </cell>
        </row>
        <row r="73">
          <cell r="H73" t="str">
            <v>Resto de Europa</v>
          </cell>
          <cell r="K73">
            <v>39803</v>
          </cell>
          <cell r="L73">
            <v>-0.23807427258805514</v>
          </cell>
        </row>
        <row r="74">
          <cell r="H74" t="str">
            <v>USA</v>
          </cell>
          <cell r="K74">
            <v>2954</v>
          </cell>
          <cell r="L74">
            <v>-0.13977868375072802</v>
          </cell>
        </row>
        <row r="75">
          <cell r="H75" t="str">
            <v>Resto de América</v>
          </cell>
          <cell r="K75">
            <v>3096</v>
          </cell>
          <cell r="L75">
            <v>0.35789473684210527</v>
          </cell>
        </row>
        <row r="76">
          <cell r="H76" t="str">
            <v>Resto del Mundo</v>
          </cell>
          <cell r="K76">
            <v>6416</v>
          </cell>
          <cell r="L76">
            <v>-0.16588663546541862</v>
          </cell>
        </row>
      </sheetData>
      <sheetData sheetId="38"/>
      <sheetData sheetId="39"/>
      <sheetData sheetId="40"/>
      <sheetData sheetId="41"/>
      <sheetData sheetId="42"/>
      <sheetData sheetId="43"/>
      <sheetData sheetId="44">
        <row r="4">
          <cell r="A4" t="str">
            <v>Suma de dato</v>
          </cell>
        </row>
      </sheetData>
      <sheetData sheetId="45"/>
      <sheetData sheetId="46"/>
      <sheetData sheetId="47"/>
      <sheetData sheetId="48"/>
      <sheetData sheetId="49"/>
      <sheetData sheetId="50">
        <row r="2">
          <cell r="A2" t="str">
            <v>enero</v>
          </cell>
        </row>
        <row r="3">
          <cell r="A3" t="str">
            <v>febrero</v>
          </cell>
        </row>
        <row r="4">
          <cell r="A4" t="str">
            <v>marzo</v>
          </cell>
        </row>
        <row r="5">
          <cell r="A5" t="str">
            <v>abril</v>
          </cell>
        </row>
        <row r="6">
          <cell r="A6" t="str">
            <v>mayo</v>
          </cell>
        </row>
        <row r="7">
          <cell r="A7" t="str">
            <v>junio</v>
          </cell>
        </row>
        <row r="8">
          <cell r="A8" t="str">
            <v>julio</v>
          </cell>
        </row>
        <row r="9">
          <cell r="A9" t="str">
            <v>agosto</v>
          </cell>
        </row>
        <row r="10">
          <cell r="A10" t="str">
            <v>septiembre</v>
          </cell>
        </row>
        <row r="11">
          <cell r="A11" t="str">
            <v>octubre</v>
          </cell>
        </row>
        <row r="12">
          <cell r="A12" t="str">
            <v>noviembre</v>
          </cell>
        </row>
        <row r="13">
          <cell r="A13" t="str">
            <v>diciembre</v>
          </cell>
        </row>
        <row r="18">
          <cell r="A18" t="str">
            <v>Suma de dato</v>
          </cell>
        </row>
        <row r="20">
          <cell r="B20">
            <v>152668</v>
          </cell>
          <cell r="C20">
            <v>146244</v>
          </cell>
          <cell r="D20">
            <v>147131</v>
          </cell>
          <cell r="E20">
            <v>136344</v>
          </cell>
          <cell r="F20">
            <v>131537</v>
          </cell>
        </row>
        <row r="21">
          <cell r="B21">
            <v>150745</v>
          </cell>
          <cell r="C21">
            <v>151411</v>
          </cell>
          <cell r="D21">
            <v>168254</v>
          </cell>
          <cell r="E21">
            <v>133792</v>
          </cell>
          <cell r="F21">
            <v>125419</v>
          </cell>
        </row>
        <row r="22">
          <cell r="B22">
            <v>167749</v>
          </cell>
          <cell r="C22">
            <v>174351</v>
          </cell>
          <cell r="D22">
            <v>183447</v>
          </cell>
          <cell r="E22">
            <v>135071</v>
          </cell>
          <cell r="F22">
            <v>140329</v>
          </cell>
        </row>
        <row r="23">
          <cell r="B23">
            <v>174042</v>
          </cell>
          <cell r="C23">
            <v>160991</v>
          </cell>
          <cell r="D23">
            <v>154022</v>
          </cell>
          <cell r="E23">
            <v>143027</v>
          </cell>
          <cell r="F23">
            <v>156611</v>
          </cell>
        </row>
        <row r="24">
          <cell r="B24">
            <v>132318</v>
          </cell>
          <cell r="C24">
            <v>116128</v>
          </cell>
          <cell r="D24">
            <v>153505</v>
          </cell>
          <cell r="E24">
            <v>123885</v>
          </cell>
          <cell r="F24">
            <v>132519</v>
          </cell>
        </row>
        <row r="25">
          <cell r="B25">
            <v>151042</v>
          </cell>
          <cell r="C25">
            <v>144506</v>
          </cell>
          <cell r="D25">
            <v>146363</v>
          </cell>
          <cell r="E25">
            <v>121387</v>
          </cell>
          <cell r="F25">
            <v>128897</v>
          </cell>
        </row>
        <row r="26">
          <cell r="B26">
            <v>167994</v>
          </cell>
          <cell r="C26">
            <v>160319</v>
          </cell>
          <cell r="D26">
            <v>161273</v>
          </cell>
          <cell r="E26">
            <v>152332</v>
          </cell>
          <cell r="F26">
            <v>163371</v>
          </cell>
        </row>
        <row r="27">
          <cell r="B27">
            <v>182235</v>
          </cell>
          <cell r="C27">
            <v>185642</v>
          </cell>
          <cell r="D27">
            <v>187998</v>
          </cell>
          <cell r="E27">
            <v>170260</v>
          </cell>
        </row>
        <row r="28">
          <cell r="B28">
            <v>163640</v>
          </cell>
          <cell r="C28">
            <v>142373</v>
          </cell>
          <cell r="D28">
            <v>137440</v>
          </cell>
          <cell r="E28">
            <v>124595</v>
          </cell>
        </row>
        <row r="29">
          <cell r="B29">
            <v>176861</v>
          </cell>
          <cell r="C29">
            <v>170847</v>
          </cell>
          <cell r="D29">
            <v>160443</v>
          </cell>
          <cell r="E29">
            <v>145358</v>
          </cell>
        </row>
        <row r="30">
          <cell r="B30">
            <v>152276</v>
          </cell>
          <cell r="C30">
            <v>165776</v>
          </cell>
          <cell r="D30">
            <v>149092</v>
          </cell>
          <cell r="E30">
            <v>130907</v>
          </cell>
        </row>
        <row r="31">
          <cell r="B31">
            <v>159849</v>
          </cell>
          <cell r="C31">
            <v>149594</v>
          </cell>
          <cell r="D31">
            <v>141832</v>
          </cell>
          <cell r="E31">
            <v>132073</v>
          </cell>
        </row>
      </sheetData>
      <sheetData sheetId="51"/>
      <sheetData sheetId="52"/>
      <sheetData sheetId="53"/>
      <sheetData sheetId="54"/>
      <sheetData sheetId="55">
        <row r="5">
          <cell r="P5" t="str">
            <v>Suma de dato</v>
          </cell>
        </row>
        <row r="6">
          <cell r="A6" t="str">
            <v>Suma de dato</v>
          </cell>
        </row>
      </sheetData>
      <sheetData sheetId="56"/>
      <sheetData sheetId="57"/>
      <sheetData sheetId="58"/>
      <sheetData sheetId="59"/>
      <sheetData sheetId="60"/>
      <sheetData sheetId="61"/>
      <sheetData sheetId="62">
        <row r="7">
          <cell r="B7" t="str">
            <v>PERNOCTACIONES EN ADEJE SEGÚN TIPOLOGÍA Y CATEGORÍA DE ESTABLECIMIENTO</v>
          </cell>
        </row>
        <row r="8">
          <cell r="C8" t="str">
            <v>acumulado julio 2009</v>
          </cell>
          <cell r="E8" t="str">
            <v xml:space="preserve">acumulado julio 2010 </v>
          </cell>
          <cell r="G8" t="str">
            <v>var. interanual</v>
          </cell>
        </row>
        <row r="10">
          <cell r="B10" t="str">
            <v>Totales</v>
          </cell>
          <cell r="C10">
            <v>7711663</v>
          </cell>
          <cell r="E10">
            <v>7698603</v>
          </cell>
          <cell r="G10">
            <v>-1.6935387347709566E-3</v>
          </cell>
        </row>
        <row r="12">
          <cell r="B12" t="str">
            <v>Hotelera</v>
          </cell>
          <cell r="C12">
            <v>4759902</v>
          </cell>
          <cell r="E12">
            <v>4862858</v>
          </cell>
          <cell r="G12">
            <v>2.1629857085292931E-2</v>
          </cell>
        </row>
        <row r="13">
          <cell r="B13" t="str">
            <v>5*</v>
          </cell>
          <cell r="C13">
            <v>582693</v>
          </cell>
          <cell r="E13">
            <v>632980</v>
          </cell>
          <cell r="G13">
            <v>8.630101957634638E-2</v>
          </cell>
        </row>
        <row r="14">
          <cell r="B14" t="str">
            <v>4*</v>
          </cell>
          <cell r="C14">
            <v>3153691</v>
          </cell>
          <cell r="E14">
            <v>3356200</v>
          </cell>
          <cell r="G14">
            <v>6.4213329714293499E-2</v>
          </cell>
        </row>
        <row r="15">
          <cell r="B15" t="str">
            <v>3*</v>
          </cell>
          <cell r="C15">
            <v>954574</v>
          </cell>
          <cell r="E15">
            <v>803958</v>
          </cell>
          <cell r="G15">
            <v>-0.15778347199902784</v>
          </cell>
        </row>
        <row r="16">
          <cell r="B16" t="str">
            <v>1* y 2*</v>
          </cell>
          <cell r="C16">
            <v>68944</v>
          </cell>
          <cell r="E16">
            <v>69720</v>
          </cell>
          <cell r="G16">
            <v>1.1255511719656533E-2</v>
          </cell>
        </row>
        <row r="18">
          <cell r="B18" t="str">
            <v>Extrahotelera</v>
          </cell>
          <cell r="C18">
            <v>2951761</v>
          </cell>
          <cell r="E18">
            <v>2835745</v>
          </cell>
          <cell r="G18">
            <v>-3.9303995140527979E-2</v>
          </cell>
        </row>
      </sheetData>
      <sheetData sheetId="63"/>
      <sheetData sheetId="64">
        <row r="2">
          <cell r="A2" t="str">
            <v>enero</v>
          </cell>
        </row>
        <row r="3">
          <cell r="A3" t="str">
            <v>febrero</v>
          </cell>
        </row>
        <row r="4">
          <cell r="A4" t="str">
            <v>marzo</v>
          </cell>
        </row>
        <row r="5">
          <cell r="A5" t="str">
            <v>abril</v>
          </cell>
        </row>
        <row r="6">
          <cell r="A6" t="str">
            <v>mayo</v>
          </cell>
        </row>
        <row r="7">
          <cell r="A7" t="str">
            <v>junio</v>
          </cell>
        </row>
        <row r="8">
          <cell r="A8" t="str">
            <v>julio</v>
          </cell>
        </row>
        <row r="9">
          <cell r="A9" t="str">
            <v>agosto</v>
          </cell>
        </row>
        <row r="10">
          <cell r="A10" t="str">
            <v>septiembre</v>
          </cell>
        </row>
        <row r="11">
          <cell r="A11" t="str">
            <v>octubre</v>
          </cell>
        </row>
        <row r="12">
          <cell r="A12" t="str">
            <v>noviembre</v>
          </cell>
        </row>
        <row r="13">
          <cell r="A13" t="str">
            <v>diciembre</v>
          </cell>
        </row>
        <row r="19">
          <cell r="B19">
            <v>2006</v>
          </cell>
          <cell r="C19">
            <v>2007</v>
          </cell>
          <cell r="D19">
            <v>2008</v>
          </cell>
          <cell r="E19">
            <v>2009</v>
          </cell>
          <cell r="F19">
            <v>2010</v>
          </cell>
        </row>
        <row r="20">
          <cell r="B20">
            <v>1464283</v>
          </cell>
          <cell r="C20">
            <v>1404527</v>
          </cell>
          <cell r="D20">
            <v>1450612</v>
          </cell>
          <cell r="E20">
            <v>1242918</v>
          </cell>
          <cell r="F20">
            <v>1162355</v>
          </cell>
        </row>
        <row r="21">
          <cell r="B21">
            <v>1323862</v>
          </cell>
          <cell r="C21">
            <v>1289129</v>
          </cell>
          <cell r="D21">
            <v>1396701</v>
          </cell>
          <cell r="E21">
            <v>1108945</v>
          </cell>
          <cell r="F21">
            <v>1081197</v>
          </cell>
        </row>
        <row r="22">
          <cell r="B22">
            <v>1438644</v>
          </cell>
          <cell r="C22">
            <v>1417981</v>
          </cell>
          <cell r="D22">
            <v>1510529</v>
          </cell>
          <cell r="E22">
            <v>1158100</v>
          </cell>
          <cell r="F22">
            <v>1138233</v>
          </cell>
        </row>
        <row r="23">
          <cell r="B23">
            <v>1405505</v>
          </cell>
          <cell r="C23">
            <v>1297024</v>
          </cell>
          <cell r="D23">
            <v>1317343</v>
          </cell>
          <cell r="E23">
            <v>1101209</v>
          </cell>
          <cell r="F23">
            <v>1061280</v>
          </cell>
        </row>
        <row r="24">
          <cell r="B24">
            <v>1129932</v>
          </cell>
          <cell r="C24">
            <v>1005170</v>
          </cell>
          <cell r="D24">
            <v>1199679</v>
          </cell>
          <cell r="E24">
            <v>902016</v>
          </cell>
          <cell r="F24">
            <v>952550</v>
          </cell>
        </row>
        <row r="25">
          <cell r="B25">
            <v>1201011</v>
          </cell>
          <cell r="C25">
            <v>1098012</v>
          </cell>
          <cell r="D25">
            <v>1216644</v>
          </cell>
          <cell r="E25">
            <v>969193</v>
          </cell>
          <cell r="F25">
            <v>996641</v>
          </cell>
        </row>
        <row r="26">
          <cell r="B26">
            <v>1527198</v>
          </cell>
          <cell r="C26">
            <v>1412283</v>
          </cell>
          <cell r="D26">
            <v>1494871</v>
          </cell>
          <cell r="E26">
            <v>1229282</v>
          </cell>
          <cell r="F26">
            <v>1306347</v>
          </cell>
        </row>
        <row r="27">
          <cell r="B27">
            <v>1735087</v>
          </cell>
          <cell r="C27">
            <v>1637049</v>
          </cell>
          <cell r="D27">
            <v>1598939</v>
          </cell>
          <cell r="E27">
            <v>1396843</v>
          </cell>
        </row>
        <row r="28">
          <cell r="B28">
            <v>1316980</v>
          </cell>
          <cell r="C28">
            <v>1243435</v>
          </cell>
          <cell r="D28">
            <v>1192452</v>
          </cell>
          <cell r="E28">
            <v>1057672</v>
          </cell>
        </row>
        <row r="29">
          <cell r="B29">
            <v>1406980</v>
          </cell>
          <cell r="C29">
            <v>1374688</v>
          </cell>
          <cell r="D29">
            <v>1286603</v>
          </cell>
          <cell r="E29">
            <v>1098407</v>
          </cell>
        </row>
        <row r="30">
          <cell r="B30">
            <v>1324632</v>
          </cell>
          <cell r="C30">
            <v>1383657</v>
          </cell>
          <cell r="D30">
            <v>1256182</v>
          </cell>
          <cell r="E30">
            <v>1140718</v>
          </cell>
        </row>
        <row r="31">
          <cell r="B31">
            <v>1311273</v>
          </cell>
          <cell r="C31">
            <v>1360021</v>
          </cell>
          <cell r="D31">
            <v>1227173</v>
          </cell>
          <cell r="E31">
            <v>1114181</v>
          </cell>
        </row>
      </sheetData>
      <sheetData sheetId="65">
        <row r="6">
          <cell r="B6" t="str">
            <v>EVOLUCIÓN  DE PERNOCTACIONES EN ADEJE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7">
          <cell r="D7" t="str">
            <v xml:space="preserve">acumulado julio 2010 </v>
          </cell>
        </row>
        <row r="9">
          <cell r="D9">
            <v>54.358202977071883</v>
          </cell>
        </row>
        <row r="10">
          <cell r="D10">
            <v>63.816408769433401</v>
          </cell>
        </row>
        <row r="11">
          <cell r="D11">
            <v>45.442623699464505</v>
          </cell>
        </row>
        <row r="13">
          <cell r="D13">
            <v>55.400707288807013</v>
          </cell>
        </row>
        <row r="14">
          <cell r="D14">
            <v>66.68661485953028</v>
          </cell>
        </row>
        <row r="15">
          <cell r="D15">
            <v>46.084330335225509</v>
          </cell>
        </row>
        <row r="17">
          <cell r="D17">
            <v>57.336689255463426</v>
          </cell>
        </row>
        <row r="18">
          <cell r="D18">
            <v>69.815886269859277</v>
          </cell>
        </row>
        <row r="19">
          <cell r="D19">
            <v>43.885093047549042</v>
          </cell>
        </row>
      </sheetData>
      <sheetData sheetId="76"/>
      <sheetData sheetId="77">
        <row r="8">
          <cell r="C8" t="str">
            <v>acumulado julio 2009</v>
          </cell>
          <cell r="D8" t="str">
            <v xml:space="preserve">acumulado julio 2010 </v>
          </cell>
          <cell r="E8" t="str">
            <v>Var. interanual</v>
          </cell>
        </row>
        <row r="10">
          <cell r="B10" t="str">
            <v>Ocupación Total</v>
          </cell>
          <cell r="C10">
            <v>55.615451674608849</v>
          </cell>
          <cell r="D10">
            <v>57.336689255463426</v>
          </cell>
          <cell r="E10">
            <v>3.0948909503155209E-2</v>
          </cell>
        </row>
        <row r="12">
          <cell r="B12" t="str">
            <v>Hotelera</v>
          </cell>
          <cell r="C12">
            <v>66.215013478371304</v>
          </cell>
          <cell r="D12">
            <v>69.815886269859277</v>
          </cell>
          <cell r="E12">
            <v>5.4381515646208856E-2</v>
          </cell>
        </row>
        <row r="13">
          <cell r="B13" t="str">
            <v>5*</v>
          </cell>
          <cell r="C13">
            <v>60.808670061779935</v>
          </cell>
          <cell r="D13">
            <v>65.362406238641242</v>
          </cell>
          <cell r="E13">
            <v>7.4886297829484416E-2</v>
          </cell>
        </row>
        <row r="14">
          <cell r="B14" t="str">
            <v>4*</v>
          </cell>
          <cell r="C14">
            <v>68.555698158423098</v>
          </cell>
          <cell r="D14">
            <v>72.957887808063489</v>
          </cell>
          <cell r="E14">
            <v>6.4213329714293277E-2</v>
          </cell>
        </row>
        <row r="15">
          <cell r="B15" t="str">
            <v>3*</v>
          </cell>
          <cell r="C15">
            <v>62.37064566418772</v>
          </cell>
          <cell r="D15">
            <v>61.985202958174767</v>
          </cell>
          <cell r="E15">
            <v>-6.179873591308116E-3</v>
          </cell>
        </row>
        <row r="16">
          <cell r="B16" t="str">
            <v>1* y 2*</v>
          </cell>
          <cell r="C16">
            <v>69.193095142513044</v>
          </cell>
          <cell r="D16">
            <v>69.971898835808915</v>
          </cell>
          <cell r="E16">
            <v>1.1255511719656663E-2</v>
          </cell>
        </row>
        <row r="18">
          <cell r="B18" t="str">
            <v>Extrahotelera</v>
          </cell>
          <cell r="C18">
            <v>44.204648752749911</v>
          </cell>
          <cell r="D18">
            <v>43.885093047549042</v>
          </cell>
          <cell r="E18">
            <v>-7.2290067723022045E-3</v>
          </cell>
        </row>
      </sheetData>
      <sheetData sheetId="78"/>
      <sheetData sheetId="79">
        <row r="2">
          <cell r="A2" t="str">
            <v>PAIS/INDICADOR</v>
          </cell>
        </row>
        <row r="96">
          <cell r="A96" t="str">
            <v>Suma de dato</v>
          </cell>
        </row>
        <row r="97">
          <cell r="B97">
            <v>2006</v>
          </cell>
          <cell r="C97">
            <v>2007</v>
          </cell>
          <cell r="D97">
            <v>2008</v>
          </cell>
          <cell r="E97">
            <v>2009</v>
          </cell>
          <cell r="F97">
            <v>2010</v>
          </cell>
        </row>
        <row r="105">
          <cell r="B105">
            <v>69.849999999999994</v>
          </cell>
          <cell r="C105">
            <v>66.69</v>
          </cell>
          <cell r="D105">
            <v>69.2</v>
          </cell>
          <cell r="E105">
            <v>61.2</v>
          </cell>
          <cell r="F105">
            <v>59.11</v>
          </cell>
        </row>
        <row r="113">
          <cell r="B113">
            <v>69.92</v>
          </cell>
          <cell r="C113">
            <v>67.77</v>
          </cell>
          <cell r="D113">
            <v>71.23</v>
          </cell>
          <cell r="E113">
            <v>60.45</v>
          </cell>
          <cell r="F113">
            <v>60.88</v>
          </cell>
        </row>
        <row r="121">
          <cell r="B121">
            <v>68.63</v>
          </cell>
          <cell r="C121">
            <v>67.33</v>
          </cell>
          <cell r="D121">
            <v>72.06</v>
          </cell>
          <cell r="E121">
            <v>57.02</v>
          </cell>
          <cell r="F121">
            <v>57.886163563593087</v>
          </cell>
        </row>
        <row r="129">
          <cell r="B129">
            <v>69.28</v>
          </cell>
          <cell r="C129">
            <v>63.64</v>
          </cell>
          <cell r="D129">
            <v>64.94</v>
          </cell>
          <cell r="E129">
            <v>56.026629220914671</v>
          </cell>
          <cell r="F129">
            <v>55.771716853224028</v>
          </cell>
        </row>
        <row r="137">
          <cell r="B137">
            <v>53.9</v>
          </cell>
          <cell r="C137">
            <v>47.73</v>
          </cell>
          <cell r="D137">
            <v>57.23</v>
          </cell>
          <cell r="E137">
            <v>44.41</v>
          </cell>
          <cell r="F137">
            <v>48.443038554057559</v>
          </cell>
        </row>
        <row r="145">
          <cell r="B145">
            <v>59.2</v>
          </cell>
          <cell r="C145">
            <v>53.87</v>
          </cell>
          <cell r="D145">
            <v>59.98</v>
          </cell>
          <cell r="E145">
            <v>49.310000966670231</v>
          </cell>
          <cell r="F145">
            <v>52.37484891481423</v>
          </cell>
        </row>
        <row r="153">
          <cell r="B153">
            <v>72.569999999999993</v>
          </cell>
          <cell r="C153">
            <v>67.010000000000005</v>
          </cell>
          <cell r="D153">
            <v>72.56</v>
          </cell>
          <cell r="E153">
            <v>61.24</v>
          </cell>
          <cell r="F153">
            <v>67.123647350193707</v>
          </cell>
        </row>
        <row r="161">
          <cell r="B161">
            <v>82.44</v>
          </cell>
          <cell r="C161">
            <v>77.680000000000007</v>
          </cell>
          <cell r="D161">
            <v>77.61</v>
          </cell>
          <cell r="E161">
            <v>69.58</v>
          </cell>
        </row>
        <row r="169">
          <cell r="B169">
            <v>64.66</v>
          </cell>
          <cell r="C169">
            <v>60.97</v>
          </cell>
          <cell r="D169">
            <v>59.81</v>
          </cell>
          <cell r="E169">
            <v>54.44</v>
          </cell>
        </row>
        <row r="177">
          <cell r="B177">
            <v>66.849999999999994</v>
          </cell>
          <cell r="C177">
            <v>65.23</v>
          </cell>
          <cell r="D177">
            <v>62.45</v>
          </cell>
          <cell r="E177">
            <v>54.716067561758173</v>
          </cell>
        </row>
        <row r="185">
          <cell r="B185">
            <v>65.040000000000006</v>
          </cell>
          <cell r="C185">
            <v>67.84</v>
          </cell>
          <cell r="D185">
            <v>63.01</v>
          </cell>
          <cell r="E185">
            <v>58.71787348600666</v>
          </cell>
        </row>
        <row r="193">
          <cell r="B193">
            <v>62.31</v>
          </cell>
          <cell r="C193">
            <v>64.53</v>
          </cell>
          <cell r="D193">
            <v>59.57</v>
          </cell>
          <cell r="E193">
            <v>55.501833903122694</v>
          </cell>
        </row>
        <row r="504">
          <cell r="B504">
            <v>68.391235664092449</v>
          </cell>
          <cell r="C504">
            <v>63.308411656726882</v>
          </cell>
          <cell r="D504">
            <v>69.666464278486146</v>
          </cell>
          <cell r="E504">
            <v>68.315359953366368</v>
          </cell>
        </row>
        <row r="505">
          <cell r="B505">
            <v>70.228139742996603</v>
          </cell>
          <cell r="C505">
            <v>67.544029920870187</v>
          </cell>
          <cell r="D505">
            <v>74.037409195882049</v>
          </cell>
          <cell r="E505">
            <v>59.459908922770865</v>
          </cell>
        </row>
        <row r="506">
          <cell r="B506">
            <v>81.282042858863591</v>
          </cell>
          <cell r="C506">
            <v>78.999061269308896</v>
          </cell>
          <cell r="D506">
            <v>80.046452278958554</v>
          </cell>
          <cell r="E506">
            <v>71.07107391477544</v>
          </cell>
        </row>
        <row r="507">
          <cell r="B507">
            <v>83.839711756873186</v>
          </cell>
          <cell r="C507">
            <v>79.155343210309454</v>
          </cell>
          <cell r="D507">
            <v>82.368074228274594</v>
          </cell>
          <cell r="E507">
            <v>64.688689538125828</v>
          </cell>
        </row>
        <row r="508">
          <cell r="B508">
            <v>54.79180646418159</v>
          </cell>
          <cell r="C508">
            <v>51.692424559519125</v>
          </cell>
          <cell r="D508">
            <v>51.951141874959497</v>
          </cell>
          <cell r="E508">
            <v>45.169416532707785</v>
          </cell>
        </row>
        <row r="509">
          <cell r="B509">
            <v>78.646931153423935</v>
          </cell>
          <cell r="C509">
            <v>75.950608009765716</v>
          </cell>
          <cell r="D509">
            <v>78.772487923790777</v>
          </cell>
          <cell r="E509">
            <v>67.751143411049412</v>
          </cell>
        </row>
        <row r="510">
          <cell r="B510">
            <v>67.06123848158623</v>
          </cell>
          <cell r="C510">
            <v>64.189503599483345</v>
          </cell>
          <cell r="D510">
            <v>65.817717394308161</v>
          </cell>
          <cell r="E510">
            <v>56.867000801089773</v>
          </cell>
        </row>
        <row r="514">
          <cell r="A514" t="str">
            <v>enero</v>
          </cell>
        </row>
        <row r="515">
          <cell r="A515" t="str">
            <v>febrero</v>
          </cell>
        </row>
        <row r="516">
          <cell r="A516" t="str">
            <v>marzo</v>
          </cell>
        </row>
        <row r="517">
          <cell r="A517" t="str">
            <v>abril</v>
          </cell>
        </row>
        <row r="518">
          <cell r="A518" t="str">
            <v>mayo</v>
          </cell>
        </row>
        <row r="519">
          <cell r="A519" t="str">
            <v>junio</v>
          </cell>
        </row>
        <row r="520">
          <cell r="A520" t="str">
            <v>julio</v>
          </cell>
        </row>
        <row r="521">
          <cell r="A521" t="str">
            <v>agosto</v>
          </cell>
        </row>
        <row r="522">
          <cell r="A522" t="str">
            <v>septiembre</v>
          </cell>
        </row>
        <row r="523">
          <cell r="A523" t="str">
            <v>octubre</v>
          </cell>
        </row>
        <row r="524">
          <cell r="A524" t="str">
            <v>noviembre</v>
          </cell>
        </row>
        <row r="525">
          <cell r="A525" t="str">
            <v>diciembre</v>
          </cell>
        </row>
      </sheetData>
      <sheetData sheetId="80">
        <row r="6">
          <cell r="B6" t="str">
            <v>EVOLUCIÓN  DE INDICES DE OCUPACIÓN EN ESTABLECIMIENTOS ALOJATIVOS DE ADEJE</v>
          </cell>
        </row>
      </sheetData>
      <sheetData sheetId="81"/>
      <sheetData sheetId="82"/>
      <sheetData sheetId="83"/>
      <sheetData sheetId="84">
        <row r="58">
          <cell r="A58" t="str">
            <v>Suma de dato</v>
          </cell>
        </row>
        <row r="59">
          <cell r="B59">
            <v>2006</v>
          </cell>
          <cell r="C59">
            <v>2007</v>
          </cell>
          <cell r="D59">
            <v>2008</v>
          </cell>
          <cell r="E59">
            <v>2009</v>
          </cell>
          <cell r="F59">
            <v>2010</v>
          </cell>
        </row>
        <row r="139">
          <cell r="B139">
            <v>9.59</v>
          </cell>
          <cell r="C139">
            <v>9.6</v>
          </cell>
          <cell r="D139">
            <v>9.86</v>
          </cell>
          <cell r="E139">
            <v>9.1199999999999992</v>
          </cell>
          <cell r="F139">
            <v>8.84</v>
          </cell>
        </row>
        <row r="140">
          <cell r="B140">
            <v>8.7799999999999994</v>
          </cell>
          <cell r="C140">
            <v>8.51</v>
          </cell>
          <cell r="D140">
            <v>8.3000000000000007</v>
          </cell>
          <cell r="E140">
            <v>8.2899999999999991</v>
          </cell>
          <cell r="F140">
            <v>8.6199999999999992</v>
          </cell>
        </row>
        <row r="141">
          <cell r="B141">
            <v>8.58</v>
          </cell>
          <cell r="C141">
            <v>8.1300000000000008</v>
          </cell>
          <cell r="D141">
            <v>8.23</v>
          </cell>
          <cell r="E141">
            <v>8.57</v>
          </cell>
          <cell r="F141">
            <v>8.1111744543180677</v>
          </cell>
        </row>
        <row r="142">
          <cell r="B142">
            <v>8.08</v>
          </cell>
          <cell r="C142">
            <v>8.06</v>
          </cell>
          <cell r="D142">
            <v>8.5500000000000007</v>
          </cell>
          <cell r="E142">
            <v>7.6993085221671436</v>
          </cell>
          <cell r="F142">
            <v>6.7765354923983629</v>
          </cell>
        </row>
        <row r="143">
          <cell r="B143">
            <v>8.5399999999999991</v>
          </cell>
          <cell r="C143">
            <v>8.66</v>
          </cell>
          <cell r="D143">
            <v>7.82</v>
          </cell>
          <cell r="E143">
            <v>7.28</v>
          </cell>
          <cell r="F143">
            <v>7.188025867988741</v>
          </cell>
        </row>
        <row r="144">
          <cell r="B144">
            <v>7.95</v>
          </cell>
          <cell r="C144">
            <v>7.6</v>
          </cell>
          <cell r="D144">
            <v>8.31</v>
          </cell>
          <cell r="E144">
            <v>7.9843228681819305</v>
          </cell>
          <cell r="F144">
            <v>7.7320728954126166</v>
          </cell>
        </row>
        <row r="145">
          <cell r="B145">
            <v>9.09</v>
          </cell>
          <cell r="C145">
            <v>8.81</v>
          </cell>
          <cell r="D145">
            <v>9.27</v>
          </cell>
          <cell r="E145">
            <v>8.07</v>
          </cell>
          <cell r="F145">
            <v>7.9961988357786877</v>
          </cell>
        </row>
        <row r="146">
          <cell r="B146">
            <v>9.52</v>
          </cell>
          <cell r="C146">
            <v>8.82</v>
          </cell>
          <cell r="D146">
            <v>8.51</v>
          </cell>
          <cell r="E146">
            <v>8.1999999999999993</v>
          </cell>
        </row>
        <row r="147">
          <cell r="B147">
            <v>8.0500000000000007</v>
          </cell>
          <cell r="C147">
            <v>8.73</v>
          </cell>
          <cell r="D147">
            <v>8.68</v>
          </cell>
          <cell r="E147">
            <v>8.49</v>
          </cell>
        </row>
        <row r="148">
          <cell r="B148">
            <v>7.96</v>
          </cell>
          <cell r="C148">
            <v>8.0500000000000007</v>
          </cell>
          <cell r="D148">
            <v>8.02</v>
          </cell>
          <cell r="E148">
            <v>7.5565637942184125</v>
          </cell>
        </row>
        <row r="149">
          <cell r="B149">
            <v>8.6999999999999993</v>
          </cell>
          <cell r="C149">
            <v>8.35</v>
          </cell>
          <cell r="D149">
            <v>8.43</v>
          </cell>
          <cell r="E149">
            <v>8.7139572368169773</v>
          </cell>
        </row>
        <row r="150">
          <cell r="B150">
            <v>8.1999999999999993</v>
          </cell>
          <cell r="C150">
            <v>9.09</v>
          </cell>
          <cell r="D150">
            <v>8.65</v>
          </cell>
          <cell r="E150">
            <v>8.4360997327235694</v>
          </cell>
        </row>
        <row r="269">
          <cell r="B269">
            <v>7.7035446264218628</v>
          </cell>
          <cell r="C269">
            <v>7.8409523344879739</v>
          </cell>
          <cell r="D269">
            <v>7.5806465821000701</v>
          </cell>
          <cell r="E269">
            <v>7.2333662510801133</v>
          </cell>
        </row>
        <row r="282">
          <cell r="B282">
            <v>9.0572104585095143</v>
          </cell>
          <cell r="C282">
            <v>8.8732887683403447</v>
          </cell>
          <cell r="D282">
            <v>8.9061119994697471</v>
          </cell>
          <cell r="E282">
            <v>8.6009183851259827</v>
          </cell>
        </row>
        <row r="295">
          <cell r="B295">
            <v>8.1337315880255456</v>
          </cell>
          <cell r="C295">
            <v>8.1368951815049151</v>
          </cell>
          <cell r="D295">
            <v>8.1906971364107211</v>
          </cell>
          <cell r="E295">
            <v>7.8948051237673411</v>
          </cell>
        </row>
        <row r="308">
          <cell r="B308">
            <v>7.2950057248786875</v>
          </cell>
          <cell r="C308">
            <v>7.1064592647653608</v>
          </cell>
          <cell r="D308">
            <v>7.8311227937555117</v>
          </cell>
          <cell r="E308">
            <v>7.3437237658780949</v>
          </cell>
        </row>
        <row r="321">
          <cell r="B321">
            <v>9.2834166516204757</v>
          </cell>
          <cell r="C321">
            <v>9.2429870415633388</v>
          </cell>
          <cell r="D321">
            <v>9.0178960397852528</v>
          </cell>
          <cell r="E321">
            <v>8.6757024494167698</v>
          </cell>
        </row>
        <row r="334">
          <cell r="B334">
            <v>8.1833837631524489</v>
          </cell>
          <cell r="C334">
            <v>8.118330168873424</v>
          </cell>
          <cell r="D334">
            <v>8.2702065580419415</v>
          </cell>
          <cell r="E334">
            <v>7.9278989776139257</v>
          </cell>
        </row>
        <row r="347">
          <cell r="B347">
            <v>8.5871512085156052</v>
          </cell>
          <cell r="C347">
            <v>8.5232466644042173</v>
          </cell>
          <cell r="D347">
            <v>8.5401565474931243</v>
          </cell>
          <cell r="E347">
            <v>8.1984413876998072</v>
          </cell>
        </row>
        <row r="349">
          <cell r="A349" t="str">
            <v>enero</v>
          </cell>
        </row>
        <row r="350">
          <cell r="A350" t="str">
            <v>febrero</v>
          </cell>
        </row>
        <row r="351">
          <cell r="A351" t="str">
            <v>marzo</v>
          </cell>
        </row>
        <row r="352">
          <cell r="A352" t="str">
            <v>abril</v>
          </cell>
        </row>
        <row r="353">
          <cell r="A353" t="str">
            <v>mayo</v>
          </cell>
        </row>
        <row r="354">
          <cell r="A354" t="str">
            <v>junio</v>
          </cell>
        </row>
        <row r="355">
          <cell r="A355" t="str">
            <v>julio</v>
          </cell>
        </row>
        <row r="356">
          <cell r="A356" t="str">
            <v>agosto</v>
          </cell>
        </row>
        <row r="357">
          <cell r="A357" t="str">
            <v>septiembre</v>
          </cell>
        </row>
        <row r="358">
          <cell r="A358" t="str">
            <v>octubre</v>
          </cell>
        </row>
        <row r="359">
          <cell r="A359" t="str">
            <v>noviembre</v>
          </cell>
        </row>
        <row r="360">
          <cell r="A360" t="str">
            <v>diciembre</v>
          </cell>
        </row>
      </sheetData>
      <sheetData sheetId="85"/>
      <sheetData sheetId="86"/>
      <sheetData sheetId="87"/>
      <sheetData sheetId="88"/>
      <sheetData sheetId="89"/>
      <sheetData sheetId="90">
        <row r="7">
          <cell r="D7" t="str">
            <v xml:space="preserve">acumulado julio 2010 </v>
          </cell>
        </row>
        <row r="9">
          <cell r="D9">
            <v>7.464581711616832</v>
          </cell>
        </row>
        <row r="10">
          <cell r="D10">
            <v>6.9683565807411521</v>
          </cell>
        </row>
        <row r="11">
          <cell r="D11">
            <v>8.2416655582158374</v>
          </cell>
        </row>
        <row r="13">
          <cell r="D13">
            <v>7.7207797208759894</v>
          </cell>
        </row>
        <row r="14">
          <cell r="D14">
            <v>7.3057424794021841</v>
          </cell>
        </row>
        <row r="15">
          <cell r="D15">
            <v>8.280468457294937</v>
          </cell>
        </row>
        <row r="17">
          <cell r="D17">
            <v>7.8662886756998951</v>
          </cell>
        </row>
        <row r="18">
          <cell r="D18">
            <v>7.5495798162773262</v>
          </cell>
        </row>
        <row r="19">
          <cell r="D19">
            <v>8.4760431611669063</v>
          </cell>
        </row>
      </sheetData>
      <sheetData sheetId="91"/>
      <sheetData sheetId="92">
        <row r="7">
          <cell r="C7" t="str">
            <v>acumulado julio 2009</v>
          </cell>
          <cell r="D7" t="str">
            <v xml:space="preserve">acumulado julio 2010 </v>
          </cell>
          <cell r="E7" t="str">
            <v>Dif. interanual</v>
          </cell>
        </row>
        <row r="9">
          <cell r="B9" t="str">
            <v>Estancia Media Total</v>
          </cell>
          <cell r="C9">
            <v>8.1532598605680882</v>
          </cell>
          <cell r="D9">
            <v>7.8662886756998951</v>
          </cell>
          <cell r="E9">
            <v>-0.28697118486819306</v>
          </cell>
        </row>
        <row r="11">
          <cell r="B11" t="str">
            <v>Hotelera</v>
          </cell>
          <cell r="C11">
            <v>7.8624342994195553</v>
          </cell>
          <cell r="D11">
            <v>7.5495798162773262</v>
          </cell>
          <cell r="E11">
            <v>-0.31285448314222908</v>
          </cell>
        </row>
        <row r="12">
          <cell r="B12" t="str">
            <v>5*</v>
          </cell>
          <cell r="C12">
            <v>7.0403310578142939</v>
          </cell>
          <cell r="D12">
            <v>6.8197293570074127</v>
          </cell>
          <cell r="E12">
            <v>-0.22060170080688124</v>
          </cell>
        </row>
        <row r="13">
          <cell r="B13" t="str">
            <v>4*</v>
          </cell>
          <cell r="C13">
            <v>7.8551633954368834</v>
          </cell>
          <cell r="D13">
            <v>7.6012954952098388</v>
          </cell>
          <cell r="E13">
            <v>-0.25386790022704453</v>
          </cell>
        </row>
        <row r="14">
          <cell r="B14" t="str">
            <v>3*</v>
          </cell>
          <cell r="C14">
            <v>8.5624304832980513</v>
          </cell>
          <cell r="D14">
            <v>8.0533512306043331</v>
          </cell>
          <cell r="E14">
            <v>-0.50907925269371823</v>
          </cell>
        </row>
        <row r="15">
          <cell r="B15" t="str">
            <v>1* y 2*</v>
          </cell>
          <cell r="C15">
            <v>7.1304167959458065</v>
          </cell>
          <cell r="D15">
            <v>7.0084439083232812</v>
          </cell>
          <cell r="E15">
            <v>-0.12197288762252523</v>
          </cell>
        </row>
        <row r="17">
          <cell r="B17" t="str">
            <v>Extrahotelera</v>
          </cell>
          <cell r="C17">
            <v>8.6704294442486187</v>
          </cell>
          <cell r="D17">
            <v>8.4760431611669063</v>
          </cell>
          <cell r="E17">
            <v>-0.19438628308171246</v>
          </cell>
        </row>
      </sheetData>
      <sheetData sheetId="93"/>
      <sheetData sheetId="94"/>
      <sheetData sheetId="95">
        <row r="6">
          <cell r="B6" t="str">
            <v>EVOLUCIÓN  DE LA ESTANCIA MEDIA  DE LOS TURISTAS ALOJADOS EN ADEJE</v>
          </cell>
        </row>
      </sheetData>
      <sheetData sheetId="96"/>
      <sheetData sheetId="97"/>
      <sheetData sheetId="98">
        <row r="4">
          <cell r="A4" t="str">
            <v>Suma de dato</v>
          </cell>
        </row>
        <row r="298">
          <cell r="C298">
            <v>7.1304167959458065</v>
          </cell>
          <cell r="E298">
            <v>8.5624304832980513</v>
          </cell>
          <cell r="F298">
            <v>7.8551633954368834</v>
          </cell>
          <cell r="H298">
            <v>7.0403310578142939</v>
          </cell>
          <cell r="I298">
            <v>8.6704294442486187</v>
          </cell>
          <cell r="J298">
            <v>7.8624342994195553</v>
          </cell>
          <cell r="K298">
            <v>8.1532598605680882</v>
          </cell>
          <cell r="M298">
            <v>7.0084439083232812</v>
          </cell>
          <cell r="O298">
            <v>8.0533512306043331</v>
          </cell>
          <cell r="P298">
            <v>7.6012954952098388</v>
          </cell>
          <cell r="R298">
            <v>6.8197293570074127</v>
          </cell>
          <cell r="S298">
            <v>8.4760431611669063</v>
          </cell>
          <cell r="T298">
            <v>7.5495798162773262</v>
          </cell>
          <cell r="U298">
            <v>7.8662886756998951</v>
          </cell>
        </row>
        <row r="311">
          <cell r="C311">
            <v>0.6919309514251305</v>
          </cell>
          <cell r="E311">
            <v>0.62370645664187718</v>
          </cell>
          <cell r="F311">
            <v>0.68555698158423095</v>
          </cell>
          <cell r="H311">
            <v>0.60808670061779935</v>
          </cell>
          <cell r="I311">
            <v>0.44204648752749909</v>
          </cell>
          <cell r="J311">
            <v>0.6621501347837131</v>
          </cell>
          <cell r="K311">
            <v>0.55615451674608851</v>
          </cell>
          <cell r="M311">
            <v>0.6997189883580891</v>
          </cell>
          <cell r="O311">
            <v>0.61985202958174768</v>
          </cell>
          <cell r="P311">
            <v>0.72957887808063493</v>
          </cell>
          <cell r="R311">
            <v>0.65362406238641246</v>
          </cell>
          <cell r="S311">
            <v>0.4388509304754904</v>
          </cell>
          <cell r="T311">
            <v>0.69815886269859273</v>
          </cell>
          <cell r="U311">
            <v>0.57336689255463424</v>
          </cell>
        </row>
        <row r="325">
          <cell r="C325">
            <v>7.4716624685138537</v>
          </cell>
          <cell r="E325">
            <v>7.85412333410369</v>
          </cell>
          <cell r="F325">
            <v>8.3299753117415687</v>
          </cell>
          <cell r="H325">
            <v>7.8596404947500433</v>
          </cell>
          <cell r="I325">
            <v>8.1814172422394442</v>
          </cell>
          <cell r="J325">
            <v>8.1106801032478852</v>
          </cell>
          <cell r="K325">
            <v>8.1513584432960755</v>
          </cell>
          <cell r="M325">
            <v>6.5581481481481481</v>
          </cell>
          <cell r="O325">
            <v>7.6247996889845533</v>
          </cell>
          <cell r="P325">
            <v>7.791404938696374</v>
          </cell>
          <cell r="R325">
            <v>7.8531887638393263</v>
          </cell>
          <cell r="S325">
            <v>8.0703581236339179</v>
          </cell>
          <cell r="T325">
            <v>7.7246437529877481</v>
          </cell>
          <cell r="U325">
            <v>7.9130712621375832</v>
          </cell>
        </row>
        <row r="338">
          <cell r="C338">
            <v>0.4704599524187153</v>
          </cell>
          <cell r="E338">
            <v>0.57568979584922597</v>
          </cell>
          <cell r="F338">
            <v>0.71387114299494903</v>
          </cell>
          <cell r="H338">
            <v>0.60720066261901684</v>
          </cell>
          <cell r="I338">
            <v>0.51246327299783123</v>
          </cell>
          <cell r="J338">
            <v>0.64814816537400399</v>
          </cell>
          <cell r="K338">
            <v>0.56222793180322095</v>
          </cell>
          <cell r="M338">
            <v>0.46190968931245274</v>
          </cell>
          <cell r="O338">
            <v>0.56756159672952211</v>
          </cell>
          <cell r="P338">
            <v>0.74220568695190003</v>
          </cell>
          <cell r="R338">
            <v>0.65218960630399925</v>
          </cell>
          <cell r="S338">
            <v>0.51081542657664547</v>
          </cell>
          <cell r="T338">
            <v>0.66642848288749179</v>
          </cell>
          <cell r="U338">
            <v>0.56991904181811259</v>
          </cell>
        </row>
        <row r="352">
          <cell r="C352">
            <v>3.946580406654344</v>
          </cell>
          <cell r="E352">
            <v>6.9794759996857572</v>
          </cell>
          <cell r="G352">
            <v>7.4398236092265941</v>
          </cell>
          <cell r="I352">
            <v>8.1182500264186839</v>
          </cell>
          <cell r="J352">
            <v>7.2949145348877007</v>
          </cell>
          <cell r="K352">
            <v>7.5759489961088793</v>
          </cell>
          <cell r="M352">
            <v>3.9014183155314304</v>
          </cell>
          <cell r="O352">
            <v>7.4322975889355583</v>
          </cell>
          <cell r="Q352">
            <v>7.3756549726970864</v>
          </cell>
          <cell r="S352">
            <v>7.7342952665845504</v>
          </cell>
          <cell r="T352">
            <v>7.3144525342056204</v>
          </cell>
          <cell r="U352">
            <v>7.4466807543751008</v>
          </cell>
        </row>
        <row r="365">
          <cell r="C365">
            <v>0.27000607010976779</v>
          </cell>
          <cell r="E365">
            <v>0.52323487535576352</v>
          </cell>
          <cell r="G365">
            <v>0.62301000589417466</v>
          </cell>
          <cell r="I365">
            <v>0.48597891400732701</v>
          </cell>
          <cell r="J365">
            <v>0.59624365206741248</v>
          </cell>
          <cell r="K365">
            <v>0.55055308525715974</v>
          </cell>
          <cell r="M365">
            <v>0.28176690778491575</v>
          </cell>
          <cell r="O365">
            <v>0.49170663407864112</v>
          </cell>
          <cell r="Q365">
            <v>0.63245450507198353</v>
          </cell>
          <cell r="S365">
            <v>0.44995128586186195</v>
          </cell>
          <cell r="T365">
            <v>0.59811096091345739</v>
          </cell>
          <cell r="U365">
            <v>0.53995217413409313</v>
          </cell>
        </row>
        <row r="379">
          <cell r="B379">
            <v>2.8754525706010137</v>
          </cell>
          <cell r="D379">
            <v>2.5075981777674325</v>
          </cell>
          <cell r="E379">
            <v>2.1653896961690884</v>
          </cell>
          <cell r="G379">
            <v>2.2300482640510664</v>
          </cell>
          <cell r="J379">
            <v>2.3460685441687241</v>
          </cell>
          <cell r="K379">
            <v>2.3460685441687241</v>
          </cell>
          <cell r="L379">
            <v>3.6768391269199676</v>
          </cell>
          <cell r="N379">
            <v>2.071387855011233</v>
          </cell>
          <cell r="O379">
            <v>2.1225036179450072</v>
          </cell>
          <cell r="Q379">
            <v>1.8100312448610425</v>
          </cell>
          <cell r="T379">
            <v>2.0865799000172385</v>
          </cell>
          <cell r="U379">
            <v>2.0865799000172385</v>
          </cell>
        </row>
        <row r="392">
          <cell r="B392">
            <v>0.41988284306469009</v>
          </cell>
          <cell r="D392">
            <v>0.52776300319131064</v>
          </cell>
          <cell r="E392">
            <v>0.46659076122316201</v>
          </cell>
          <cell r="G392">
            <v>0.3217340521114106</v>
          </cell>
          <cell r="J392">
            <v>0.41859501432611274</v>
          </cell>
          <cell r="K392">
            <v>0.41859501432611274</v>
          </cell>
          <cell r="L392">
            <v>0.4290801886792453</v>
          </cell>
          <cell r="N392">
            <v>0.43233161637086387</v>
          </cell>
          <cell r="O392">
            <v>0.47711450878334416</v>
          </cell>
          <cell r="Q392">
            <v>0.26802316237526358</v>
          </cell>
          <cell r="T392">
            <v>0.37709338935825121</v>
          </cell>
          <cell r="U392">
            <v>0.37709338935825121</v>
          </cell>
        </row>
      </sheetData>
      <sheetData sheetId="99">
        <row r="7">
          <cell r="E7" t="str">
            <v xml:space="preserve">acumulado julio 2010 </v>
          </cell>
        </row>
        <row r="9">
          <cell r="E9">
            <v>2766193</v>
          </cell>
        </row>
        <row r="10">
          <cell r="E10">
            <v>1677828</v>
          </cell>
        </row>
        <row r="11">
          <cell r="E11">
            <v>1088365</v>
          </cell>
        </row>
        <row r="13">
          <cell r="E13">
            <v>978683</v>
          </cell>
        </row>
        <row r="14">
          <cell r="E14">
            <v>644123</v>
          </cell>
        </row>
        <row r="15">
          <cell r="E15">
            <v>334560</v>
          </cell>
        </row>
        <row r="17">
          <cell r="E17">
            <v>818429</v>
          </cell>
        </row>
        <row r="18">
          <cell r="E18">
            <v>372354</v>
          </cell>
        </row>
        <row r="19">
          <cell r="E19">
            <v>446075</v>
          </cell>
        </row>
        <row r="21">
          <cell r="E21">
            <v>415019</v>
          </cell>
        </row>
        <row r="22">
          <cell r="E22">
            <v>284310</v>
          </cell>
        </row>
        <row r="23">
          <cell r="E23">
            <v>130709</v>
          </cell>
        </row>
        <row r="25">
          <cell r="E25">
            <v>92816</v>
          </cell>
        </row>
        <row r="26">
          <cell r="E26">
            <v>92816</v>
          </cell>
        </row>
        <row r="27">
          <cell r="E27">
            <v>0</v>
          </cell>
        </row>
      </sheetData>
      <sheetData sheetId="100"/>
      <sheetData sheetId="101">
        <row r="7">
          <cell r="B7" t="str">
            <v>TURISMO ALOJADO EN ADEJE SEGÚN TIPOLOGÍA Y CATEGORÍA DE ESTABLECIMIENTO</v>
          </cell>
          <cell r="I7" t="str">
            <v>TURISMO ALOJADO EN ARONA SEGÚN TIPOLOGÍA Y CATEGORÍA DE ESTABLECIMIENTO</v>
          </cell>
        </row>
        <row r="8">
          <cell r="C8" t="str">
            <v>acumulado julio 2009</v>
          </cell>
          <cell r="E8" t="str">
            <v xml:space="preserve">acumulado julio 2010 </v>
          </cell>
          <cell r="G8" t="str">
            <v>var. interanual</v>
          </cell>
          <cell r="J8" t="str">
            <v>acumulado julio 2009</v>
          </cell>
          <cell r="L8" t="str">
            <v xml:space="preserve">acumulado julio 2010 </v>
          </cell>
          <cell r="N8" t="str">
            <v>var. interanual</v>
          </cell>
        </row>
        <row r="10">
          <cell r="B10" t="str">
            <v>Total Alojados</v>
          </cell>
          <cell r="C10">
            <v>945838</v>
          </cell>
          <cell r="E10">
            <v>978683</v>
          </cell>
          <cell r="G10">
            <v>3.472581985498574E-2</v>
          </cell>
          <cell r="I10" t="str">
            <v>Total Alojados</v>
          </cell>
          <cell r="J10">
            <v>808683</v>
          </cell>
          <cell r="L10">
            <v>818429</v>
          </cell>
          <cell r="N10">
            <v>1.2051693927039395E-2</v>
          </cell>
        </row>
        <row r="12">
          <cell r="B12" t="str">
            <v>Hotelera</v>
          </cell>
          <cell r="C12">
            <v>605398</v>
          </cell>
          <cell r="E12">
            <v>644123</v>
          </cell>
          <cell r="G12">
            <v>6.3966184229217807E-2</v>
          </cell>
          <cell r="I12" t="str">
            <v>Hotelera</v>
          </cell>
          <cell r="J12">
            <v>343639</v>
          </cell>
          <cell r="L12">
            <v>372354</v>
          </cell>
          <cell r="N12">
            <v>8.3561528231661714E-2</v>
          </cell>
        </row>
        <row r="13">
          <cell r="B13" t="str">
            <v>5*</v>
          </cell>
          <cell r="C13">
            <v>82765</v>
          </cell>
          <cell r="E13">
            <v>92816</v>
          </cell>
          <cell r="G13">
            <v>0.12144022231619646</v>
          </cell>
          <cell r="I13" t="str">
            <v>5*</v>
          </cell>
          <cell r="J13">
            <v>40667</v>
          </cell>
          <cell r="L13">
            <v>43716</v>
          </cell>
          <cell r="N13">
            <v>7.4974795288563212E-2</v>
          </cell>
        </row>
        <row r="14">
          <cell r="B14" t="str">
            <v>4*</v>
          </cell>
          <cell r="C14">
            <v>401480</v>
          </cell>
          <cell r="E14">
            <v>441530</v>
          </cell>
          <cell r="G14">
            <v>9.9755903158314244E-2</v>
          </cell>
          <cell r="I14" t="str">
            <v>4*</v>
          </cell>
          <cell r="J14">
            <v>191184</v>
          </cell>
          <cell r="L14">
            <v>215077</v>
          </cell>
          <cell r="N14">
            <v>0.12497384718386476</v>
          </cell>
        </row>
        <row r="15">
          <cell r="B15" t="str">
            <v>3*</v>
          </cell>
          <cell r="C15">
            <v>111484</v>
          </cell>
          <cell r="E15">
            <v>99829</v>
          </cell>
          <cell r="G15">
            <v>-0.10454414983315992</v>
          </cell>
          <cell r="I15" t="str">
            <v>3*</v>
          </cell>
          <cell r="J15">
            <v>103848</v>
          </cell>
          <cell r="L15">
            <v>105461</v>
          </cell>
          <cell r="N15">
            <v>1.5532316462522148E-2</v>
          </cell>
        </row>
        <row r="16">
          <cell r="B16" t="str">
            <v>1* y 2*</v>
          </cell>
          <cell r="C16">
            <v>9669</v>
          </cell>
          <cell r="E16">
            <v>9948</v>
          </cell>
          <cell r="G16">
            <v>2.8855103940428173E-2</v>
          </cell>
          <cell r="I16" t="str">
            <v>1* y 2*</v>
          </cell>
          <cell r="J16">
            <v>7940</v>
          </cell>
          <cell r="L16">
            <v>8100</v>
          </cell>
          <cell r="N16">
            <v>2.0151133501259445E-2</v>
          </cell>
        </row>
        <row r="18">
          <cell r="B18" t="str">
            <v>Extrahotelera</v>
          </cell>
          <cell r="C18">
            <v>340440</v>
          </cell>
          <cell r="E18">
            <v>334560</v>
          </cell>
          <cell r="G18">
            <v>-1.7271765949947126E-2</v>
          </cell>
          <cell r="I18" t="str">
            <v>Extrahotelera</v>
          </cell>
          <cell r="J18">
            <v>465044</v>
          </cell>
          <cell r="L18">
            <v>446075</v>
          </cell>
          <cell r="N18">
            <v>-4.0789688717626719E-2</v>
          </cell>
        </row>
        <row r="21">
          <cell r="B21" t="str">
            <v>TURISMO ALOJADO EN PUERTO DE LA CRUZ SEGÚN TIPOLOGÍA Y CATEGORÍA DE ESTABLECIMIENTO</v>
          </cell>
          <cell r="I21" t="str">
            <v>TURISMO ALOJADO EN SANTA CRUZ SEGÚN TIPOLOGÍA Y CATEGORÍA DE ESTABLECIMIENTO</v>
          </cell>
        </row>
        <row r="22">
          <cell r="C22" t="str">
            <v>acumulado julio 2009</v>
          </cell>
          <cell r="E22" t="str">
            <v xml:space="preserve">acumulado julio 2010 </v>
          </cell>
          <cell r="G22" t="str">
            <v>var. interanual</v>
          </cell>
          <cell r="J22" t="str">
            <v>acumulado julio 2009</v>
          </cell>
          <cell r="L22" t="str">
            <v xml:space="preserve">acumulado julio 2010 </v>
          </cell>
          <cell r="N22" t="str">
            <v>var. interanual</v>
          </cell>
        </row>
        <row r="24">
          <cell r="B24" t="str">
            <v>Total Alojados</v>
          </cell>
          <cell r="C24">
            <v>443574</v>
          </cell>
          <cell r="E24">
            <v>415019</v>
          </cell>
          <cell r="G24">
            <v>-6.4374828100835488E-2</v>
          </cell>
          <cell r="I24" t="str">
            <v>Total Alojados</v>
          </cell>
          <cell r="J24">
            <v>95588</v>
          </cell>
          <cell r="L24">
            <v>92816</v>
          </cell>
          <cell r="N24">
            <v>-2.8999455998660918E-2</v>
          </cell>
        </row>
        <row r="26">
          <cell r="B26" t="str">
            <v>Hotelera</v>
          </cell>
          <cell r="C26">
            <v>292166</v>
          </cell>
          <cell r="E26">
            <v>284310</v>
          </cell>
          <cell r="G26">
            <v>-2.6888823477064408E-2</v>
          </cell>
          <cell r="I26" t="str">
            <v>Hotelera</v>
          </cell>
          <cell r="J26">
            <v>95588</v>
          </cell>
          <cell r="L26">
            <v>92816</v>
          </cell>
          <cell r="N26">
            <v>-2.8999455998660918E-2</v>
          </cell>
        </row>
        <row r="27">
          <cell r="B27" t="str">
            <v>4* y 5*</v>
          </cell>
          <cell r="C27">
            <v>235840</v>
          </cell>
          <cell r="E27">
            <v>235506</v>
          </cell>
          <cell r="G27">
            <v>-1.4162143826322931E-3</v>
          </cell>
          <cell r="I27" t="str">
            <v>4* y 5*</v>
          </cell>
          <cell r="J27">
            <v>32115</v>
          </cell>
          <cell r="L27">
            <v>30405</v>
          </cell>
          <cell r="N27">
            <v>-5.3246146660439045E-2</v>
          </cell>
        </row>
        <row r="28">
          <cell r="B28" t="str">
            <v>3*</v>
          </cell>
          <cell r="C28">
            <v>50916</v>
          </cell>
          <cell r="E28">
            <v>43093</v>
          </cell>
          <cell r="G28">
            <v>-0.15364521957734306</v>
          </cell>
          <cell r="I28" t="str">
            <v>3*</v>
          </cell>
          <cell r="J28">
            <v>26495</v>
          </cell>
          <cell r="L28">
            <v>27640</v>
          </cell>
          <cell r="N28">
            <v>4.3215701075674656E-2</v>
          </cell>
        </row>
        <row r="29">
          <cell r="B29" t="str">
            <v>1* y 2*</v>
          </cell>
          <cell r="C29">
            <v>5410</v>
          </cell>
          <cell r="E29">
            <v>5711</v>
          </cell>
          <cell r="G29">
            <v>5.5637707948243992E-2</v>
          </cell>
          <cell r="I29" t="str">
            <v>2*</v>
          </cell>
          <cell r="J29">
            <v>30073</v>
          </cell>
          <cell r="L29">
            <v>29823</v>
          </cell>
          <cell r="N29">
            <v>-8.3131047783726267E-3</v>
          </cell>
        </row>
        <row r="30">
          <cell r="I30" t="str">
            <v>1*</v>
          </cell>
          <cell r="J30">
            <v>6905</v>
          </cell>
          <cell r="L30">
            <v>4948</v>
          </cell>
          <cell r="N30">
            <v>-0.28341781317885589</v>
          </cell>
        </row>
        <row r="31">
          <cell r="B31" t="str">
            <v>Extrahotelera</v>
          </cell>
          <cell r="C31">
            <v>151408</v>
          </cell>
          <cell r="E31">
            <v>130709</v>
          </cell>
          <cell r="G31">
            <v>-0.13671008136954454</v>
          </cell>
        </row>
        <row r="32">
          <cell r="I32" t="str">
            <v>Extrahotelera</v>
          </cell>
          <cell r="J32">
            <v>0</v>
          </cell>
          <cell r="L32">
            <v>0</v>
          </cell>
          <cell r="N32" t="str">
            <v>-</v>
          </cell>
        </row>
      </sheetData>
      <sheetData sheetId="102"/>
      <sheetData sheetId="103">
        <row r="7">
          <cell r="E7" t="str">
            <v xml:space="preserve">acumulado julio 2010 </v>
          </cell>
        </row>
        <row r="9">
          <cell r="E9">
            <v>20533466</v>
          </cell>
        </row>
        <row r="10">
          <cell r="E10">
            <v>11697161</v>
          </cell>
        </row>
        <row r="11">
          <cell r="E11">
            <v>8836305</v>
          </cell>
        </row>
        <row r="13">
          <cell r="E13">
            <v>7698603</v>
          </cell>
        </row>
        <row r="14">
          <cell r="E14">
            <v>4862858</v>
          </cell>
        </row>
        <row r="15">
          <cell r="E15">
            <v>2835745</v>
          </cell>
        </row>
        <row r="17">
          <cell r="E17">
            <v>6476287</v>
          </cell>
        </row>
        <row r="18">
          <cell r="E18">
            <v>2876302</v>
          </cell>
        </row>
        <row r="19">
          <cell r="E19">
            <v>3599985</v>
          </cell>
        </row>
        <row r="21">
          <cell r="E21">
            <v>3090514</v>
          </cell>
        </row>
        <row r="22">
          <cell r="E22">
            <v>2079572</v>
          </cell>
        </row>
        <row r="23">
          <cell r="E23">
            <v>1010942</v>
          </cell>
        </row>
        <row r="25">
          <cell r="E25">
            <v>193668</v>
          </cell>
        </row>
        <row r="26">
          <cell r="E26">
            <v>16971</v>
          </cell>
        </row>
        <row r="27">
          <cell r="E27" t="str">
            <v>-</v>
          </cell>
        </row>
      </sheetData>
      <sheetData sheetId="104"/>
      <sheetData sheetId="105">
        <row r="7">
          <cell r="B7" t="str">
            <v>PERNOCTACIONES EN ADEJE SEGÚN TIPOLOGÍA Y CATEGORÍA DE ESTABLECIMIENTO</v>
          </cell>
          <cell r="I7" t="str">
            <v>PERNOCTACIONES EN ARONA SEGÚN TIPOLOGÍA Y CATEGORÍA DE ESTABLECIMIENTO</v>
          </cell>
        </row>
        <row r="8">
          <cell r="C8" t="str">
            <v>acumulado julio 2009</v>
          </cell>
          <cell r="E8" t="str">
            <v xml:space="preserve">acumulado julio 2010 </v>
          </cell>
          <cell r="G8" t="str">
            <v>var. interanual</v>
          </cell>
          <cell r="J8" t="str">
            <v>acumulado julio 2009</v>
          </cell>
          <cell r="L8" t="str">
            <v xml:space="preserve">acumulado julio 2010 </v>
          </cell>
          <cell r="N8" t="str">
            <v>var. interanual</v>
          </cell>
        </row>
        <row r="10">
          <cell r="B10" t="str">
            <v>Total Pernoctaciones</v>
          </cell>
          <cell r="C10">
            <v>7711663</v>
          </cell>
          <cell r="E10">
            <v>7698603</v>
          </cell>
          <cell r="G10">
            <v>-1.6935387347709566E-3</v>
          </cell>
          <cell r="I10" t="str">
            <v>Total Pernoctaciones</v>
          </cell>
          <cell r="J10">
            <v>6591865</v>
          </cell>
          <cell r="L10">
            <v>6476287</v>
          </cell>
          <cell r="N10">
            <v>-1.7533429461920109E-2</v>
          </cell>
        </row>
        <row r="12">
          <cell r="B12" t="str">
            <v>Hotelera</v>
          </cell>
          <cell r="C12">
            <v>4759902</v>
          </cell>
          <cell r="E12">
            <v>4862858</v>
          </cell>
          <cell r="G12">
            <v>2.1629857085292931E-2</v>
          </cell>
          <cell r="I12" t="str">
            <v>Hotelera</v>
          </cell>
          <cell r="J12">
            <v>2787146</v>
          </cell>
          <cell r="L12">
            <v>2876302</v>
          </cell>
          <cell r="N12">
            <v>3.1988277614448613E-2</v>
          </cell>
        </row>
        <row r="13">
          <cell r="B13" t="str">
            <v>5*</v>
          </cell>
          <cell r="C13">
            <v>582693</v>
          </cell>
          <cell r="E13">
            <v>632980</v>
          </cell>
          <cell r="G13">
            <v>8.630101957634638E-2</v>
          </cell>
          <cell r="I13" t="str">
            <v>5*</v>
          </cell>
          <cell r="J13">
            <v>319628</v>
          </cell>
          <cell r="L13">
            <v>343310</v>
          </cell>
          <cell r="N13">
            <v>7.409238239453364E-2</v>
          </cell>
        </row>
        <row r="14">
          <cell r="B14" t="str">
            <v>4*</v>
          </cell>
          <cell r="C14">
            <v>3153691</v>
          </cell>
          <cell r="E14">
            <v>3356200</v>
          </cell>
          <cell r="G14">
            <v>6.4213329714293499E-2</v>
          </cell>
          <cell r="I14" t="str">
            <v>4*</v>
          </cell>
          <cell r="J14">
            <v>1592558</v>
          </cell>
          <cell r="L14">
            <v>1675752</v>
          </cell>
          <cell r="N14">
            <v>5.2239227707876257E-2</v>
          </cell>
        </row>
        <row r="15">
          <cell r="B15" t="str">
            <v>3*</v>
          </cell>
          <cell r="C15">
            <v>954574</v>
          </cell>
          <cell r="E15">
            <v>803958</v>
          </cell>
          <cell r="G15">
            <v>-0.15778347199902784</v>
          </cell>
          <cell r="I15" t="str">
            <v>3*</v>
          </cell>
          <cell r="J15">
            <v>815635</v>
          </cell>
          <cell r="L15">
            <v>804119</v>
          </cell>
          <cell r="N15">
            <v>-1.4119060609218585E-2</v>
          </cell>
        </row>
        <row r="16">
          <cell r="B16" t="str">
            <v>1* y 2*</v>
          </cell>
          <cell r="C16">
            <v>68944</v>
          </cell>
          <cell r="E16">
            <v>69720</v>
          </cell>
          <cell r="G16">
            <v>1.1255511719656533E-2</v>
          </cell>
          <cell r="I16" t="str">
            <v>1* y 2*</v>
          </cell>
          <cell r="J16">
            <v>59325</v>
          </cell>
          <cell r="L16">
            <v>53121</v>
          </cell>
          <cell r="N16">
            <v>-0.10457648546144122</v>
          </cell>
        </row>
        <row r="18">
          <cell r="B18" t="str">
            <v>Extrahotelera</v>
          </cell>
          <cell r="C18">
            <v>2951761</v>
          </cell>
          <cell r="E18">
            <v>2835745</v>
          </cell>
          <cell r="G18">
            <v>-3.9303995140527979E-2</v>
          </cell>
          <cell r="I18" t="str">
            <v>Extrahotelera</v>
          </cell>
          <cell r="J18">
            <v>3804719</v>
          </cell>
          <cell r="L18">
            <v>3599985</v>
          </cell>
          <cell r="N18">
            <v>-5.3810544221531212E-2</v>
          </cell>
        </row>
        <row r="21">
          <cell r="B21" t="str">
            <v>PERNOCTACIONES EN PUERTO DE LA CRUZ SEGÚN TIPOLOGÍA Y CATEGORÍA DE ESTABLECIMIENTO</v>
          </cell>
          <cell r="I21" t="str">
            <v>PERNOCTACIONES EN SANTA CRUZ SEGÚN TIPOLOGÍA Y CATEGORÍA DE ESTABLECIMIENTO</v>
          </cell>
        </row>
        <row r="22">
          <cell r="C22" t="str">
            <v>acumulado julio 2009</v>
          </cell>
          <cell r="E22" t="str">
            <v xml:space="preserve">acumulado julio 2010 </v>
          </cell>
          <cell r="G22" t="str">
            <v>var. interanual</v>
          </cell>
          <cell r="J22" t="str">
            <v>acumulado julio 2009</v>
          </cell>
          <cell r="L22" t="str">
            <v xml:space="preserve">acumulado julio 2010 </v>
          </cell>
          <cell r="N22" t="str">
            <v>var. interanual</v>
          </cell>
        </row>
        <row r="24">
          <cell r="B24" t="str">
            <v>Total Pernoctaciones</v>
          </cell>
          <cell r="C24">
            <v>3360494</v>
          </cell>
          <cell r="E24">
            <v>3090514</v>
          </cell>
          <cell r="G24">
            <v>-8.0339378674682951E-2</v>
          </cell>
          <cell r="I24" t="str">
            <v>Total Pernoctaciones</v>
          </cell>
          <cell r="J24">
            <v>224256</v>
          </cell>
          <cell r="L24">
            <v>193668</v>
          </cell>
          <cell r="N24">
            <v>-0.13639768835616439</v>
          </cell>
        </row>
        <row r="26">
          <cell r="B26" t="str">
            <v>Hotelera</v>
          </cell>
          <cell r="C26">
            <v>2131326</v>
          </cell>
          <cell r="E26">
            <v>2079572</v>
          </cell>
          <cell r="G26">
            <v>-2.428253584857502E-2</v>
          </cell>
          <cell r="I26" t="str">
            <v>Hotelera</v>
          </cell>
          <cell r="J26">
            <v>224256</v>
          </cell>
          <cell r="L26">
            <v>193668</v>
          </cell>
          <cell r="N26">
            <v>-0.13639768835616439</v>
          </cell>
        </row>
        <row r="27">
          <cell r="B27" t="str">
            <v>4* y 5*</v>
          </cell>
          <cell r="C27">
            <v>1754608</v>
          </cell>
          <cell r="E27">
            <v>1737011</v>
          </cell>
          <cell r="G27">
            <v>-1.0029020727136774E-2</v>
          </cell>
          <cell r="I27" t="str">
            <v>4* y 5*</v>
          </cell>
          <cell r="J27">
            <v>71618</v>
          </cell>
          <cell r="L27">
            <v>55034</v>
          </cell>
          <cell r="N27">
            <v>-0.23156189784691</v>
          </cell>
        </row>
        <row r="28">
          <cell r="B28" t="str">
            <v>3*</v>
          </cell>
          <cell r="C28">
            <v>355367</v>
          </cell>
          <cell r="E28">
            <v>320280</v>
          </cell>
          <cell r="G28">
            <v>-9.8734547664808492E-2</v>
          </cell>
          <cell r="I28" t="str">
            <v>3*</v>
          </cell>
          <cell r="J28">
            <v>57372</v>
          </cell>
          <cell r="L28">
            <v>58666</v>
          </cell>
          <cell r="N28">
            <v>2.2554556229519625E-2</v>
          </cell>
        </row>
        <row r="29">
          <cell r="B29" t="str">
            <v>1* y 2*</v>
          </cell>
          <cell r="C29">
            <v>21351</v>
          </cell>
          <cell r="E29">
            <v>22281</v>
          </cell>
          <cell r="G29">
            <v>4.3557678797246029E-2</v>
          </cell>
          <cell r="I29" t="str">
            <v>2*</v>
          </cell>
          <cell r="J29">
            <v>75411</v>
          </cell>
          <cell r="L29">
            <v>61775</v>
          </cell>
          <cell r="N29">
            <v>-0.18082242643646151</v>
          </cell>
        </row>
        <row r="30">
          <cell r="I30" t="str">
            <v>1*</v>
          </cell>
          <cell r="J30">
            <v>19855</v>
          </cell>
          <cell r="L30">
            <v>18193</v>
          </cell>
          <cell r="N30">
            <v>-8.3706874842608914E-2</v>
          </cell>
        </row>
        <row r="31">
          <cell r="B31" t="str">
            <v>Extrahotelera</v>
          </cell>
          <cell r="C31">
            <v>1229168</v>
          </cell>
          <cell r="E31">
            <v>1010942</v>
          </cell>
          <cell r="G31">
            <v>-0.17753960402483632</v>
          </cell>
        </row>
        <row r="32">
          <cell r="I32" t="str">
            <v>Extrahotelera</v>
          </cell>
          <cell r="J32">
            <v>0</v>
          </cell>
          <cell r="L32">
            <v>0</v>
          </cell>
          <cell r="N32" t="str">
            <v>-</v>
          </cell>
        </row>
      </sheetData>
      <sheetData sheetId="106"/>
      <sheetData sheetId="107">
        <row r="7">
          <cell r="D7" t="str">
            <v xml:space="preserve">acumulado julio 2010 </v>
          </cell>
        </row>
        <row r="9">
          <cell r="D9">
            <v>54.358202977071883</v>
          </cell>
        </row>
        <row r="10">
          <cell r="D10">
            <v>63.816408769433401</v>
          </cell>
        </row>
        <row r="11">
          <cell r="D11">
            <v>45.442623699464505</v>
          </cell>
        </row>
        <row r="13">
          <cell r="D13">
            <v>57.336689255463426</v>
          </cell>
        </row>
        <row r="14">
          <cell r="D14">
            <v>69.815886269859277</v>
          </cell>
        </row>
        <row r="15">
          <cell r="D15">
            <v>43.885093047549042</v>
          </cell>
        </row>
        <row r="17">
          <cell r="D17">
            <v>56.991904181811258</v>
          </cell>
        </row>
        <row r="18">
          <cell r="D18">
            <v>66.642848288749178</v>
          </cell>
        </row>
        <row r="19">
          <cell r="D19">
            <v>51.081542657664549</v>
          </cell>
        </row>
        <row r="21">
          <cell r="D21">
            <v>53.995217413409314</v>
          </cell>
        </row>
        <row r="22">
          <cell r="D22">
            <v>59.811096091345739</v>
          </cell>
        </row>
        <row r="23">
          <cell r="D23">
            <v>44.995128586186198</v>
          </cell>
        </row>
        <row r="25">
          <cell r="D25">
            <v>37.709338935825123</v>
          </cell>
        </row>
        <row r="26">
          <cell r="D26">
            <v>37.709338935825123</v>
          </cell>
        </row>
        <row r="27">
          <cell r="D27" t="str">
            <v>-</v>
          </cell>
        </row>
      </sheetData>
      <sheetData sheetId="108"/>
      <sheetData sheetId="109">
        <row r="7">
          <cell r="B7" t="str">
            <v>INDICES DE OCUPACIÓN EN ALOJAMIENTO DE ADEJE SEGÚN TIPOLOGÍA Y CATEGORÍA DE ESTABLECIMIENTO</v>
          </cell>
          <cell r="G7" t="str">
            <v>INDICES DE OCUPACIÓN EN ALOJAMIENTO DE ARONA SEGÚN TIPOLOGÍA Y CATEGORÍA DE ESTABLECIMIENTO</v>
          </cell>
        </row>
        <row r="8">
          <cell r="C8" t="str">
            <v>acumulado julio 2009</v>
          </cell>
          <cell r="D8" t="str">
            <v xml:space="preserve">acumulado julio 2010 </v>
          </cell>
          <cell r="E8" t="str">
            <v>var. interanual</v>
          </cell>
          <cell r="H8" t="str">
            <v>acumulado julio 2009</v>
          </cell>
          <cell r="I8" t="str">
            <v xml:space="preserve">acumulado julio 2010 </v>
          </cell>
          <cell r="J8" t="str">
            <v>var. interanual</v>
          </cell>
        </row>
        <row r="10">
          <cell r="B10" t="str">
            <v>Indice de ocupación total</v>
          </cell>
          <cell r="C10">
            <v>55.615451674608849</v>
          </cell>
          <cell r="D10">
            <v>57.336689255463426</v>
          </cell>
          <cell r="E10">
            <v>3.094890950315532E-2</v>
          </cell>
          <cell r="G10" t="str">
            <v>Indice de ocupación total</v>
          </cell>
          <cell r="H10">
            <v>56.222793180322093</v>
          </cell>
          <cell r="I10">
            <v>56.991904181811258</v>
          </cell>
          <cell r="J10">
            <v>1.3679701024856815E-2</v>
          </cell>
        </row>
        <row r="12">
          <cell r="B12" t="str">
            <v>Hotelera</v>
          </cell>
          <cell r="C12">
            <v>66.215013478371304</v>
          </cell>
          <cell r="D12">
            <v>69.815886269859277</v>
          </cell>
          <cell r="E12">
            <v>5.4381515646208758E-2</v>
          </cell>
          <cell r="G12" t="str">
            <v>Hotelera</v>
          </cell>
          <cell r="H12">
            <v>64.814816537400404</v>
          </cell>
          <cell r="I12">
            <v>66.642848288749178</v>
          </cell>
          <cell r="J12">
            <v>2.8203917699804591E-2</v>
          </cell>
        </row>
        <row r="13">
          <cell r="B13" t="str">
            <v>5*</v>
          </cell>
          <cell r="C13">
            <v>60.808670061779935</v>
          </cell>
          <cell r="D13">
            <v>65.362406238641242</v>
          </cell>
          <cell r="E13">
            <v>7.4886297829484444E-2</v>
          </cell>
          <cell r="G13" t="str">
            <v>5*</v>
          </cell>
          <cell r="H13">
            <v>60.720066261901685</v>
          </cell>
          <cell r="I13">
            <v>65.21896063039992</v>
          </cell>
          <cell r="J13">
            <v>7.4092382394533543E-2</v>
          </cell>
        </row>
        <row r="14">
          <cell r="B14" t="str">
            <v>4*</v>
          </cell>
          <cell r="C14">
            <v>68.555698158423098</v>
          </cell>
          <cell r="D14">
            <v>72.957887808063489</v>
          </cell>
          <cell r="E14">
            <v>6.4213329714293277E-2</v>
          </cell>
          <cell r="G14" t="str">
            <v>4*</v>
          </cell>
          <cell r="H14">
            <v>71.387114299494897</v>
          </cell>
          <cell r="I14">
            <v>74.220568695189996</v>
          </cell>
          <cell r="J14">
            <v>3.9691398419716591E-2</v>
          </cell>
        </row>
        <row r="15">
          <cell r="B15" t="str">
            <v>3*</v>
          </cell>
          <cell r="C15">
            <v>62.37064566418772</v>
          </cell>
          <cell r="D15">
            <v>61.985202958174767</v>
          </cell>
          <cell r="E15">
            <v>-6.1798735913081585E-3</v>
          </cell>
          <cell r="G15" t="str">
            <v>3*</v>
          </cell>
          <cell r="H15">
            <v>57.568979584922594</v>
          </cell>
          <cell r="I15">
            <v>56.756159672952208</v>
          </cell>
          <cell r="J15">
            <v>-1.4119060609218533E-2</v>
          </cell>
        </row>
        <row r="16">
          <cell r="B16" t="str">
            <v>1* y 2*</v>
          </cell>
          <cell r="C16">
            <v>69.193095142513044</v>
          </cell>
          <cell r="D16">
            <v>69.971898835808915</v>
          </cell>
          <cell r="E16">
            <v>1.125551171965661E-2</v>
          </cell>
          <cell r="G16" t="str">
            <v>1* y 2*</v>
          </cell>
          <cell r="H16">
            <v>47.04599524187153</v>
          </cell>
          <cell r="I16">
            <v>46.190968931245273</v>
          </cell>
          <cell r="J16">
            <v>-1.8174263425195295E-2</v>
          </cell>
        </row>
        <row r="18">
          <cell r="C18">
            <v>44.204648752749911</v>
          </cell>
          <cell r="D18">
            <v>43.885093047549042</v>
          </cell>
          <cell r="E18">
            <v>-7.2290067723022088E-3</v>
          </cell>
          <cell r="G18" t="str">
            <v>Extrahotelera</v>
          </cell>
          <cell r="H18">
            <v>51.246327299783125</v>
          </cell>
          <cell r="I18">
            <v>51.081542657664549</v>
          </cell>
          <cell r="J18">
            <v>-3.2155405236088696E-3</v>
          </cell>
        </row>
        <row r="21">
          <cell r="B21" t="str">
            <v>INDICES DE OCUPACIÓN EN ALOJAMIENTO DE PUERTO DE LA CRUZ SEGÚN TIPOLOGÍA Y CATEGORÍA DE ESTABLECIMIENTO</v>
          </cell>
          <cell r="G21" t="str">
            <v>INDICES DE OCUPACIÓN EN ALOJAMIENTO DE SANTA CRUZ SEGÚN TIPOLOGÍA Y CATEGORÍA DE ESTABLECIMIENTO</v>
          </cell>
        </row>
        <row r="22">
          <cell r="C22" t="str">
            <v>acumulado julio 2009</v>
          </cell>
          <cell r="D22" t="str">
            <v xml:space="preserve">acumulado julio 2010 </v>
          </cell>
          <cell r="E22" t="str">
            <v>var. interanual</v>
          </cell>
          <cell r="H22" t="str">
            <v>acumulado julio 2009</v>
          </cell>
          <cell r="I22" t="str">
            <v xml:space="preserve">acumulado julio 2010 </v>
          </cell>
          <cell r="J22" t="str">
            <v>var. interanual</v>
          </cell>
        </row>
        <row r="24">
          <cell r="B24" t="str">
            <v>Indice de ocupación total</v>
          </cell>
          <cell r="C24">
            <v>55.055308525715972</v>
          </cell>
          <cell r="D24">
            <v>53.995217413409314</v>
          </cell>
          <cell r="E24">
            <v>-1.9255020827128714E-2</v>
          </cell>
          <cell r="G24" t="str">
            <v>Indice de ocupación total</v>
          </cell>
          <cell r="H24">
            <v>41.859501432611275</v>
          </cell>
          <cell r="I24">
            <v>37.709338935825123</v>
          </cell>
          <cell r="J24">
            <v>-9.9145053207750466E-2</v>
          </cell>
        </row>
        <row r="26">
          <cell r="B26" t="str">
            <v>Hotelera</v>
          </cell>
          <cell r="C26">
            <v>59.624365206741246</v>
          </cell>
          <cell r="D26">
            <v>59.811096091345739</v>
          </cell>
          <cell r="E26">
            <v>3.1317882204200194E-3</v>
          </cell>
          <cell r="G26" t="str">
            <v>Hotelera</v>
          </cell>
          <cell r="H26">
            <v>41.859501432611275</v>
          </cell>
          <cell r="I26">
            <v>37.709338935825123</v>
          </cell>
          <cell r="J26">
            <v>-9.9145053207750466E-2</v>
          </cell>
        </row>
        <row r="27">
          <cell r="B27" t="str">
            <v>4* y 5*</v>
          </cell>
          <cell r="C27">
            <v>62.301000589417463</v>
          </cell>
          <cell r="D27">
            <v>63.245450507198356</v>
          </cell>
          <cell r="E27">
            <v>1.5159466282172669E-2</v>
          </cell>
          <cell r="G27" t="str">
            <v>4* y 5*</v>
          </cell>
          <cell r="H27">
            <v>32.173405211141059</v>
          </cell>
          <cell r="I27">
            <v>26.802316237526359</v>
          </cell>
          <cell r="J27">
            <v>-0.16694188688969705</v>
          </cell>
        </row>
        <row r="28">
          <cell r="B28" t="str">
            <v>3*</v>
          </cell>
          <cell r="C28">
            <v>52.323487535576355</v>
          </cell>
          <cell r="D28">
            <v>49.170663407864112</v>
          </cell>
          <cell r="E28">
            <v>-6.0256383437142659E-2</v>
          </cell>
          <cell r="G28" t="str">
            <v>3*</v>
          </cell>
          <cell r="H28">
            <v>46.6590761223162</v>
          </cell>
          <cell r="I28">
            <v>47.711450878334418</v>
          </cell>
          <cell r="J28">
            <v>2.2554556229519625E-2</v>
          </cell>
        </row>
        <row r="29">
          <cell r="B29" t="str">
            <v>1* y 2*</v>
          </cell>
          <cell r="C29">
            <v>27.000607010976779</v>
          </cell>
          <cell r="D29">
            <v>28.176690778491576</v>
          </cell>
          <cell r="E29">
            <v>4.355767879724607E-2</v>
          </cell>
          <cell r="G29" t="str">
            <v>2*</v>
          </cell>
          <cell r="H29">
            <v>52.776300319131067</v>
          </cell>
          <cell r="I29">
            <v>43.23316163708639</v>
          </cell>
          <cell r="J29">
            <v>-0.18082242643646151</v>
          </cell>
        </row>
        <row r="30">
          <cell r="G30" t="str">
            <v>1*</v>
          </cell>
          <cell r="H30">
            <v>41.988284306469012</v>
          </cell>
          <cell r="I30">
            <v>42.908018867924532</v>
          </cell>
          <cell r="J30">
            <v>2.1904552106546054E-2</v>
          </cell>
        </row>
        <row r="31">
          <cell r="B31" t="str">
            <v>Extrahotelera</v>
          </cell>
          <cell r="C31">
            <v>48.597891400732699</v>
          </cell>
          <cell r="D31">
            <v>44.995128586186198</v>
          </cell>
          <cell r="E31">
            <v>-7.4134138554253895E-2</v>
          </cell>
        </row>
        <row r="32">
          <cell r="G32" t="str">
            <v>Extrahotelera</v>
          </cell>
          <cell r="H32">
            <v>0</v>
          </cell>
          <cell r="I32">
            <v>0</v>
          </cell>
          <cell r="J32" t="str">
            <v>-</v>
          </cell>
        </row>
      </sheetData>
      <sheetData sheetId="110"/>
      <sheetData sheetId="111">
        <row r="7">
          <cell r="D7" t="str">
            <v xml:space="preserve">acumulado julio 2010 </v>
          </cell>
        </row>
        <row r="9">
          <cell r="D9">
            <v>7.4230055531193955</v>
          </cell>
        </row>
        <row r="10">
          <cell r="D10">
            <v>6.9716091279916652</v>
          </cell>
        </row>
        <row r="11">
          <cell r="D11">
            <v>8.1188801550950274</v>
          </cell>
        </row>
        <row r="13">
          <cell r="D13">
            <v>7.8662886756998951</v>
          </cell>
        </row>
        <row r="14">
          <cell r="D14">
            <v>7.5495798162773262</v>
          </cell>
        </row>
        <row r="15">
          <cell r="D15">
            <v>8.4760431611669063</v>
          </cell>
        </row>
        <row r="17">
          <cell r="D17">
            <v>7.9130712621375832</v>
          </cell>
        </row>
        <row r="18">
          <cell r="D18">
            <v>7.7246437529877481</v>
          </cell>
        </row>
        <row r="19">
          <cell r="D19">
            <v>8.0703581236339179</v>
          </cell>
        </row>
        <row r="21">
          <cell r="D21">
            <v>7.4466807543751008</v>
          </cell>
        </row>
        <row r="22">
          <cell r="D22">
            <v>7.3144525342056204</v>
          </cell>
        </row>
        <row r="23">
          <cell r="D23">
            <v>7.7342952665845504</v>
          </cell>
        </row>
        <row r="25">
          <cell r="D25">
            <v>2.0865799000172385</v>
          </cell>
        </row>
        <row r="26">
          <cell r="D26">
            <v>2.0865799000172385</v>
          </cell>
        </row>
        <row r="27">
          <cell r="D27" t="str">
            <v>-</v>
          </cell>
        </row>
      </sheetData>
      <sheetData sheetId="112"/>
      <sheetData sheetId="113">
        <row r="7">
          <cell r="B7" t="str">
            <v>ESTANCIA MEDIA DE LOS TURISTAS ALOJADOS EN ADEJE SEGÚN TIPOLOGÍA Y CATEGORÍA DE ESTABLECIMIENTO</v>
          </cell>
          <cell r="G7" t="str">
            <v>ESTANCIA MEDIA DE LOS TURISTAS ALOJADOS EN  ARONA SEGÚN TIPOLOGÍA Y CATEGORÍA DE ESTABLECIMIENTO</v>
          </cell>
        </row>
        <row r="8">
          <cell r="C8" t="str">
            <v>acumulado julio 2009</v>
          </cell>
          <cell r="D8" t="str">
            <v xml:space="preserve">acumulado julio 2010 </v>
          </cell>
          <cell r="E8" t="str">
            <v>var. interanual</v>
          </cell>
          <cell r="H8" t="str">
            <v>acumulado julio 2009</v>
          </cell>
          <cell r="I8" t="str">
            <v xml:space="preserve">acumulado julio 2010 </v>
          </cell>
          <cell r="J8" t="str">
            <v>var. interanual</v>
          </cell>
        </row>
        <row r="10">
          <cell r="B10" t="str">
            <v>Estancia media total</v>
          </cell>
          <cell r="C10">
            <v>8.1532598605680882</v>
          </cell>
          <cell r="D10">
            <v>7.8662886756998951</v>
          </cell>
          <cell r="E10">
            <v>-0.28697118486819306</v>
          </cell>
          <cell r="G10" t="str">
            <v>Estancia media total</v>
          </cell>
          <cell r="H10">
            <v>8.1513584432960755</v>
          </cell>
          <cell r="I10">
            <v>7.9130712621375832</v>
          </cell>
          <cell r="J10">
            <v>-0.23828718115849234</v>
          </cell>
        </row>
        <row r="12">
          <cell r="B12" t="str">
            <v>Hotelera</v>
          </cell>
          <cell r="C12">
            <v>7.8624342994195553</v>
          </cell>
          <cell r="D12">
            <v>7.5495798162773262</v>
          </cell>
          <cell r="E12">
            <v>-0.31285448314222908</v>
          </cell>
          <cell r="G12" t="str">
            <v>Hotelera</v>
          </cell>
          <cell r="H12">
            <v>8.1106801032478852</v>
          </cell>
          <cell r="I12">
            <v>7.7246437529877481</v>
          </cell>
          <cell r="J12">
            <v>-0.38603635026013716</v>
          </cell>
        </row>
        <row r="13">
          <cell r="B13" t="str">
            <v>5*</v>
          </cell>
          <cell r="C13">
            <v>7.0403310578142939</v>
          </cell>
          <cell r="D13">
            <v>6.8197293570074127</v>
          </cell>
          <cell r="E13">
            <v>-0.22060170080688124</v>
          </cell>
          <cell r="G13" t="str">
            <v>5*</v>
          </cell>
          <cell r="H13">
            <v>7.8596404947500433</v>
          </cell>
          <cell r="I13">
            <v>7.8531887638393263</v>
          </cell>
          <cell r="J13">
            <v>-6.4517309107170462E-3</v>
          </cell>
        </row>
        <row r="14">
          <cell r="B14" t="str">
            <v>4*</v>
          </cell>
          <cell r="C14">
            <v>7.8551633954368834</v>
          </cell>
          <cell r="D14">
            <v>7.6012954952098388</v>
          </cell>
          <cell r="E14">
            <v>-0.25386790022704453</v>
          </cell>
          <cell r="G14" t="str">
            <v>4*</v>
          </cell>
          <cell r="H14">
            <v>8.3299753117415687</v>
          </cell>
          <cell r="I14">
            <v>7.791404938696374</v>
          </cell>
          <cell r="J14">
            <v>-0.53857037304519473</v>
          </cell>
        </row>
        <row r="15">
          <cell r="B15" t="str">
            <v>3*</v>
          </cell>
          <cell r="C15">
            <v>8.5624304832980513</v>
          </cell>
          <cell r="D15">
            <v>8.0533512306043331</v>
          </cell>
          <cell r="E15">
            <v>-0.50907925269371823</v>
          </cell>
          <cell r="G15" t="str">
            <v>3*</v>
          </cell>
          <cell r="H15">
            <v>7.85412333410369</v>
          </cell>
          <cell r="I15">
            <v>7.6247996889845533</v>
          </cell>
          <cell r="J15">
            <v>-0.22932364511913672</v>
          </cell>
        </row>
        <row r="16">
          <cell r="B16" t="str">
            <v>1* y 2*</v>
          </cell>
          <cell r="C16">
            <v>7.1304167959458065</v>
          </cell>
          <cell r="D16">
            <v>7.0084439083232812</v>
          </cell>
          <cell r="E16">
            <v>-0.12197288762252523</v>
          </cell>
          <cell r="G16" t="str">
            <v>1* y 2*</v>
          </cell>
          <cell r="H16">
            <v>7.4716624685138537</v>
          </cell>
          <cell r="I16">
            <v>6.5581481481481481</v>
          </cell>
          <cell r="J16">
            <v>-0.91351432036570568</v>
          </cell>
        </row>
        <row r="18">
          <cell r="C18">
            <v>8.6704294442486187</v>
          </cell>
          <cell r="D18">
            <v>8.4760431611669063</v>
          </cell>
          <cell r="E18">
            <v>-0.19438628308171246</v>
          </cell>
          <cell r="G18" t="str">
            <v>Extrahotelera</v>
          </cell>
          <cell r="H18">
            <v>8.1814172422394442</v>
          </cell>
          <cell r="I18">
            <v>8.0703581236339179</v>
          </cell>
          <cell r="J18">
            <v>-0.11105911860552631</v>
          </cell>
        </row>
        <row r="21">
          <cell r="B21" t="str">
            <v>ESTANCIA MEDIA DE LOS TURISTAS ALOJADOS EN  PUERTO DE LA CRUZ SEGÚN TIPOLOGÍA Y CATEGORÍA DE ESTABLECIMIENTO</v>
          </cell>
          <cell r="G21" t="str">
            <v>ESTANCIA MEDIA DE LOS TURISTAS ALOJADOS EN  SANTA CRUZ SEGÚN TIPOLOGÍA Y CATEGORÍA DE ESTABLECIMIENTO</v>
          </cell>
        </row>
        <row r="22">
          <cell r="C22" t="str">
            <v>acumulado julio 2009</v>
          </cell>
          <cell r="D22" t="str">
            <v xml:space="preserve">acumulado julio 2010 </v>
          </cell>
          <cell r="E22" t="str">
            <v>var. interanual</v>
          </cell>
          <cell r="H22" t="str">
            <v>acumulado julio 2009</v>
          </cell>
          <cell r="I22" t="str">
            <v xml:space="preserve">acumulado julio 2010 </v>
          </cell>
          <cell r="J22" t="str">
            <v>var. interanual</v>
          </cell>
        </row>
        <row r="24">
          <cell r="B24" t="str">
            <v>Estancia media total</v>
          </cell>
          <cell r="C24">
            <v>7.5759489961088793</v>
          </cell>
          <cell r="D24">
            <v>7.4466807543751008</v>
          </cell>
          <cell r="E24">
            <v>-0.12926824173377849</v>
          </cell>
          <cell r="G24" t="str">
            <v>Estancia media total</v>
          </cell>
          <cell r="H24">
            <v>2.3460685441687241</v>
          </cell>
          <cell r="I24">
            <v>2.0865799000172385</v>
          </cell>
          <cell r="J24">
            <v>-0.25948864415148565</v>
          </cell>
        </row>
        <row r="26">
          <cell r="B26" t="str">
            <v>Hotelera</v>
          </cell>
          <cell r="C26">
            <v>7.2949145348877007</v>
          </cell>
          <cell r="D26">
            <v>7.3144525342056204</v>
          </cell>
          <cell r="E26">
            <v>1.9537999317919663E-2</v>
          </cell>
          <cell r="G26" t="str">
            <v>Hotelera</v>
          </cell>
          <cell r="H26">
            <v>2.3460685441687241</v>
          </cell>
          <cell r="I26">
            <v>2.0865799000172385</v>
          </cell>
          <cell r="J26">
            <v>-0.25948864415148565</v>
          </cell>
        </row>
        <row r="27">
          <cell r="B27" t="str">
            <v>4* y 5*</v>
          </cell>
          <cell r="C27">
            <v>7.4398236092265941</v>
          </cell>
          <cell r="D27">
            <v>7.3756549726970864</v>
          </cell>
          <cell r="E27">
            <v>-6.4168636529507772E-2</v>
          </cell>
          <cell r="G27" t="str">
            <v>4* y 5*</v>
          </cell>
          <cell r="H27">
            <v>2.2300482640510664</v>
          </cell>
          <cell r="I27">
            <v>1.8100312448610425</v>
          </cell>
          <cell r="J27">
            <v>-0.42001701919002388</v>
          </cell>
        </row>
        <row r="28">
          <cell r="B28" t="str">
            <v>3*</v>
          </cell>
          <cell r="C28">
            <v>6.9794759996857572</v>
          </cell>
          <cell r="D28">
            <v>7.4322975889355583</v>
          </cell>
          <cell r="E28">
            <v>0.45282158924980109</v>
          </cell>
          <cell r="G28" t="str">
            <v>3*</v>
          </cell>
          <cell r="H28">
            <v>2.1653896961690884</v>
          </cell>
          <cell r="I28">
            <v>2.1225036179450072</v>
          </cell>
          <cell r="J28">
            <v>-4.2886078224081192E-2</v>
          </cell>
        </row>
        <row r="29">
          <cell r="B29" t="str">
            <v>1* y 2*</v>
          </cell>
          <cell r="C29">
            <v>3.946580406654344</v>
          </cell>
          <cell r="D29">
            <v>3.9014183155314304</v>
          </cell>
          <cell r="E29">
            <v>-4.5162091122913584E-2</v>
          </cell>
          <cell r="G29" t="str">
            <v>2*</v>
          </cell>
          <cell r="H29">
            <v>2.5075981777674325</v>
          </cell>
          <cell r="I29">
            <v>2.071387855011233</v>
          </cell>
          <cell r="J29">
            <v>-0.43621032275619953</v>
          </cell>
        </row>
        <row r="30">
          <cell r="G30" t="str">
            <v>1*</v>
          </cell>
          <cell r="H30">
            <v>2.8754525706010137</v>
          </cell>
          <cell r="I30">
            <v>3.6768391269199676</v>
          </cell>
          <cell r="J30">
            <v>0.80138655631895395</v>
          </cell>
        </row>
        <row r="31">
          <cell r="B31" t="str">
            <v>Extrahotelera</v>
          </cell>
          <cell r="C31">
            <v>8.1182500264186839</v>
          </cell>
          <cell r="D31">
            <v>7.7342952665845504</v>
          </cell>
          <cell r="E31">
            <v>-0.38395475983413352</v>
          </cell>
        </row>
        <row r="32">
          <cell r="G32" t="str">
            <v>Extrahotelera</v>
          </cell>
          <cell r="H32" t="str">
            <v>-</v>
          </cell>
          <cell r="I32" t="str">
            <v>-</v>
          </cell>
          <cell r="J32" t="str">
            <v>-</v>
          </cell>
        </row>
      </sheetData>
      <sheetData sheetId="114"/>
      <sheetData sheetId="115">
        <row r="3">
          <cell r="A3" t="str">
            <v>Suma de TOTAL GENERAL</v>
          </cell>
        </row>
        <row r="36">
          <cell r="A36" t="str">
            <v>Suma de dato</v>
          </cell>
        </row>
      </sheetData>
      <sheetData sheetId="116"/>
      <sheetData sheetId="117"/>
      <sheetData sheetId="118"/>
      <sheetData sheetId="119"/>
      <sheetData sheetId="120">
        <row r="52">
          <cell r="A52" t="str">
            <v>Suma de dato</v>
          </cell>
        </row>
      </sheetData>
      <sheetData sheetId="121">
        <row r="7">
          <cell r="E7" t="str">
            <v>I semestre 2010</v>
          </cell>
          <cell r="L7" t="str">
            <v>II semestre 2010</v>
          </cell>
        </row>
        <row r="9">
          <cell r="E9">
            <v>178697</v>
          </cell>
        </row>
        <row r="10">
          <cell r="E10">
            <v>86541</v>
          </cell>
        </row>
        <row r="11">
          <cell r="E11">
            <v>92156</v>
          </cell>
        </row>
        <row r="13">
          <cell r="E13">
            <v>2504</v>
          </cell>
        </row>
        <row r="14">
          <cell r="E14">
            <v>2504</v>
          </cell>
        </row>
        <row r="15">
          <cell r="E15" t="str">
            <v>-</v>
          </cell>
        </row>
        <row r="17">
          <cell r="E17">
            <v>1713</v>
          </cell>
        </row>
        <row r="18">
          <cell r="E18">
            <v>514</v>
          </cell>
        </row>
        <row r="19">
          <cell r="E19">
            <v>1199</v>
          </cell>
        </row>
        <row r="21">
          <cell r="E21">
            <v>30806</v>
          </cell>
        </row>
        <row r="22">
          <cell r="E22">
            <v>18641</v>
          </cell>
        </row>
        <row r="23">
          <cell r="E23">
            <v>12165</v>
          </cell>
        </row>
        <row r="25">
          <cell r="E25">
            <v>27225</v>
          </cell>
        </row>
        <row r="26">
          <cell r="E26">
            <v>16442</v>
          </cell>
        </row>
        <row r="27">
          <cell r="E27">
            <v>10783</v>
          </cell>
        </row>
        <row r="29">
          <cell r="E29">
            <v>143674</v>
          </cell>
        </row>
        <row r="30">
          <cell r="E30">
            <v>64882</v>
          </cell>
        </row>
        <row r="31">
          <cell r="E31">
            <v>78792</v>
          </cell>
        </row>
        <row r="33">
          <cell r="E33">
            <v>63430</v>
          </cell>
        </row>
        <row r="34">
          <cell r="E34">
            <v>32855</v>
          </cell>
        </row>
        <row r="35">
          <cell r="E35">
            <v>30575</v>
          </cell>
        </row>
        <row r="37">
          <cell r="E37">
            <v>53697</v>
          </cell>
        </row>
        <row r="38">
          <cell r="E38">
            <v>20363</v>
          </cell>
        </row>
        <row r="39">
          <cell r="E39">
            <v>33334</v>
          </cell>
        </row>
      </sheetData>
      <sheetData sheetId="122"/>
      <sheetData sheetId="123">
        <row r="6">
          <cell r="C6" t="str">
            <v>PLAZAS ALOJATIVAS ESTIMADAS EN ADEJE SEGÚN TIPOLOGÍA Y CATEGORÍA (*)</v>
          </cell>
          <cell r="J6" t="str">
            <v>PLAZAS ALOJATIVAS ESTIMADAS  EN ADEJE SEGÚN TIPOLOGÍA Y CATEGORÍA (*)</v>
          </cell>
        </row>
        <row r="7">
          <cell r="D7" t="str">
            <v>I semestre 2009</v>
          </cell>
          <cell r="F7" t="str">
            <v>I semestre 2010</v>
          </cell>
          <cell r="H7" t="str">
            <v>var. interanual</v>
          </cell>
          <cell r="K7" t="str">
            <v>II semestre 2009</v>
          </cell>
          <cell r="M7" t="str">
            <v>II semestre 2010</v>
          </cell>
          <cell r="O7" t="str">
            <v>var. interanual</v>
          </cell>
        </row>
        <row r="8">
          <cell r="C8" t="str">
            <v>TOTAL PLAZAS</v>
          </cell>
          <cell r="D8">
            <v>65517</v>
          </cell>
          <cell r="F8">
            <v>63430</v>
          </cell>
          <cell r="H8">
            <v>-3.1854327884365888E-2</v>
          </cell>
          <cell r="J8" t="str">
            <v>TOTAL PLAZAS</v>
          </cell>
          <cell r="K8">
            <v>64757</v>
          </cell>
          <cell r="M8">
            <v>62780</v>
          </cell>
          <cell r="O8">
            <v>-3.0529518044381303E-2</v>
          </cell>
        </row>
        <row r="9">
          <cell r="C9" t="str">
            <v>HOTELERAS</v>
          </cell>
          <cell r="D9">
            <v>33977</v>
          </cell>
          <cell r="F9">
            <v>32855</v>
          </cell>
          <cell r="H9">
            <v>-3.3022338640845278E-2</v>
          </cell>
          <cell r="J9" t="str">
            <v>HOTELERAS</v>
          </cell>
          <cell r="K9">
            <v>33507</v>
          </cell>
          <cell r="M9">
            <v>32855</v>
          </cell>
          <cell r="O9">
            <v>-1.945862058674307E-2</v>
          </cell>
        </row>
        <row r="10">
          <cell r="C10" t="str">
            <v>5 estrellas</v>
          </cell>
          <cell r="D10">
            <v>4520</v>
          </cell>
          <cell r="F10">
            <v>4568</v>
          </cell>
          <cell r="G10">
            <v>7.20163960271165E-2</v>
          </cell>
          <cell r="H10">
            <v>1.0619469026548672E-2</v>
          </cell>
          <cell r="J10" t="str">
            <v>5 estrellas</v>
          </cell>
          <cell r="K10">
            <v>4520</v>
          </cell>
          <cell r="M10">
            <v>4568</v>
          </cell>
          <cell r="N10">
            <v>7.2762026122969101E-2</v>
          </cell>
          <cell r="O10">
            <v>1.0619469026548672E-2</v>
          </cell>
        </row>
        <row r="11">
          <cell r="C11" t="str">
            <v>4 estrellas</v>
          </cell>
          <cell r="D11">
            <v>21699</v>
          </cell>
          <cell r="F11">
            <v>21699</v>
          </cell>
          <cell r="G11">
            <v>0.34209364653949237</v>
          </cell>
          <cell r="H11">
            <v>0</v>
          </cell>
          <cell r="J11" t="str">
            <v>4 estrellas</v>
          </cell>
          <cell r="K11">
            <v>21699</v>
          </cell>
          <cell r="M11">
            <v>21699</v>
          </cell>
          <cell r="N11">
            <v>0.34563555272379737</v>
          </cell>
          <cell r="O11">
            <v>0</v>
          </cell>
        </row>
        <row r="12">
          <cell r="C12" t="str">
            <v>3 estrellas</v>
          </cell>
          <cell r="D12">
            <v>7288</v>
          </cell>
          <cell r="F12">
            <v>6118</v>
          </cell>
          <cell r="G12">
            <v>9.6452782594986602E-2</v>
          </cell>
          <cell r="H12">
            <v>-0.16053787047200879</v>
          </cell>
          <cell r="J12" t="str">
            <v>3 estrellas</v>
          </cell>
          <cell r="K12">
            <v>6818</v>
          </cell>
          <cell r="M12">
            <v>6118</v>
          </cell>
          <cell r="N12">
            <v>9.7451417648932781E-2</v>
          </cell>
          <cell r="O12">
            <v>-0.10266940451745379</v>
          </cell>
        </row>
        <row r="13">
          <cell r="C13" t="str">
            <v>1 Y 2 estrellas</v>
          </cell>
          <cell r="D13">
            <v>470</v>
          </cell>
          <cell r="F13">
            <v>470</v>
          </cell>
          <cell r="G13">
            <v>7.4097430238057697E-3</v>
          </cell>
          <cell r="H13">
            <v>0</v>
          </cell>
          <cell r="J13" t="str">
            <v>1 Y 2 estrellas</v>
          </cell>
          <cell r="K13">
            <v>470</v>
          </cell>
          <cell r="M13">
            <v>470</v>
          </cell>
          <cell r="N13">
            <v>7.4864606562599556E-3</v>
          </cell>
          <cell r="O13">
            <v>0</v>
          </cell>
        </row>
        <row r="14">
          <cell r="C14" t="str">
            <v>EXTRAHOTELERAS</v>
          </cell>
          <cell r="D14">
            <v>31540</v>
          </cell>
          <cell r="F14">
            <v>30575</v>
          </cell>
          <cell r="G14">
            <v>0.48202743181459878</v>
          </cell>
          <cell r="H14">
            <v>-3.0596068484464174E-2</v>
          </cell>
          <cell r="J14" t="str">
            <v>EXTRAHOTELERAS</v>
          </cell>
          <cell r="K14">
            <v>31250</v>
          </cell>
          <cell r="M14">
            <v>29925</v>
          </cell>
          <cell r="N14">
            <v>0.47666454284804077</v>
          </cell>
          <cell r="O14">
            <v>-4.24E-2</v>
          </cell>
        </row>
        <row r="19">
          <cell r="C19" t="str">
            <v>PLAZAS ALOJATIVAS ESTIMADAS EN ARONA SEGÚN TIPOLOGÍA Y CATEGORÍA (*)</v>
          </cell>
          <cell r="J19" t="str">
            <v>PLAZAS ALOJATIVAS ESTIMADAS  EN ARONA SEGÚN TIPOLOGÍA Y CATEGORÍA (*)</v>
          </cell>
        </row>
        <row r="20">
          <cell r="D20" t="str">
            <v>I semestre 2009</v>
          </cell>
          <cell r="F20" t="str">
            <v>I semestre 2010</v>
          </cell>
          <cell r="K20" t="str">
            <v>II semestre 2009</v>
          </cell>
          <cell r="M20" t="str">
            <v>II semestre 2010</v>
          </cell>
          <cell r="O20" t="str">
            <v>var. interanual</v>
          </cell>
        </row>
        <row r="21">
          <cell r="C21" t="str">
            <v>TOTAL PLAZAS</v>
          </cell>
          <cell r="D21">
            <v>55465</v>
          </cell>
          <cell r="F21">
            <v>53697</v>
          </cell>
          <cell r="J21" t="str">
            <v>TOTAL PLAZAS</v>
          </cell>
          <cell r="K21">
            <v>54367</v>
          </cell>
          <cell r="M21">
            <v>53044</v>
          </cell>
          <cell r="O21">
            <v>-2.4334614747916934E-2</v>
          </cell>
        </row>
        <row r="22">
          <cell r="C22" t="str">
            <v>HOTELERAS</v>
          </cell>
          <cell r="D22">
            <v>20292</v>
          </cell>
          <cell r="F22">
            <v>20363</v>
          </cell>
          <cell r="J22" t="str">
            <v>HOTELERAS</v>
          </cell>
          <cell r="K22">
            <v>20236</v>
          </cell>
          <cell r="M22">
            <v>20332</v>
          </cell>
          <cell r="O22">
            <v>4.7440205574224154E-3</v>
          </cell>
        </row>
        <row r="23">
          <cell r="C23" t="str">
            <v>5 estrellas</v>
          </cell>
          <cell r="D23">
            <v>2483</v>
          </cell>
          <cell r="F23">
            <v>2483</v>
          </cell>
          <cell r="G23">
            <v>4.6240944559286366E-2</v>
          </cell>
          <cell r="J23" t="str">
            <v>5 estrellas</v>
          </cell>
          <cell r="K23">
            <v>2483</v>
          </cell>
          <cell r="M23">
            <v>2483</v>
          </cell>
          <cell r="O23">
            <v>0</v>
          </cell>
        </row>
        <row r="24">
          <cell r="C24" t="str">
            <v>4 estrellas</v>
          </cell>
          <cell r="D24">
            <v>10523</v>
          </cell>
          <cell r="F24">
            <v>10650</v>
          </cell>
          <cell r="G24">
            <v>0.19833510251969383</v>
          </cell>
          <cell r="J24" t="str">
            <v>4 estrellas</v>
          </cell>
          <cell r="K24">
            <v>10523</v>
          </cell>
          <cell r="M24">
            <v>10650</v>
          </cell>
          <cell r="O24">
            <v>1.2068801672526846E-2</v>
          </cell>
        </row>
        <row r="25">
          <cell r="C25" t="str">
            <v>3 estrellas</v>
          </cell>
          <cell r="D25">
            <v>6683</v>
          </cell>
          <cell r="F25">
            <v>6683</v>
          </cell>
          <cell r="G25">
            <v>0.12445760470789802</v>
          </cell>
          <cell r="J25" t="str">
            <v>3 estrellas</v>
          </cell>
          <cell r="K25">
            <v>6683</v>
          </cell>
          <cell r="M25">
            <v>6683</v>
          </cell>
          <cell r="O25">
            <v>0</v>
          </cell>
        </row>
        <row r="26">
          <cell r="C26" t="str">
            <v>1 Y 2 estrellas</v>
          </cell>
          <cell r="D26">
            <v>603</v>
          </cell>
          <cell r="F26">
            <v>547</v>
          </cell>
          <cell r="G26">
            <v>1.0186788833640614E-2</v>
          </cell>
          <cell r="J26" t="str">
            <v>1 Y 2 estrellas</v>
          </cell>
          <cell r="K26">
            <v>547</v>
          </cell>
          <cell r="M26">
            <v>516</v>
          </cell>
          <cell r="O26">
            <v>-5.6672760511882997E-2</v>
          </cell>
        </row>
        <row r="27">
          <cell r="C27" t="str">
            <v>EXTRAHOTELERAS</v>
          </cell>
          <cell r="D27">
            <v>35173</v>
          </cell>
          <cell r="F27">
            <v>33334</v>
          </cell>
          <cell r="G27">
            <v>0.62077955937948115</v>
          </cell>
          <cell r="J27" t="str">
            <v>EXTRAHOTELERAS</v>
          </cell>
          <cell r="K27">
            <v>34131</v>
          </cell>
          <cell r="M27">
            <v>32712</v>
          </cell>
          <cell r="O27">
            <v>-4.1575107673376112E-2</v>
          </cell>
        </row>
        <row r="31">
          <cell r="C31" t="str">
            <v>PLAZAS ALOJATIVAS ESTIMADAS EN PUERTO DE LA CRUZ SEGÚN TIPOLOGÍA Y CATEGORÍA (*)</v>
          </cell>
          <cell r="J31" t="str">
            <v>PLAZAS ALOJATIVAS ESTIMADAS EN PUERTO DE LA CRUZ SEGÚN TIPOLOGÍA Y CATEGORÍA (*)</v>
          </cell>
        </row>
        <row r="32">
          <cell r="D32" t="str">
            <v>I semestre 2009</v>
          </cell>
          <cell r="F32" t="str">
            <v>I semestre 2010</v>
          </cell>
          <cell r="H32" t="str">
            <v>var. interanual</v>
          </cell>
          <cell r="K32" t="str">
            <v>II semestre 2009</v>
          </cell>
          <cell r="M32" t="str">
            <v>II semestre 2010</v>
          </cell>
          <cell r="O32" t="str">
            <v>var. interanual</v>
          </cell>
        </row>
        <row r="33">
          <cell r="C33" t="str">
            <v>TOTAL PLAZAS</v>
          </cell>
          <cell r="D33">
            <v>28846</v>
          </cell>
          <cell r="F33">
            <v>27225</v>
          </cell>
          <cell r="H33">
            <v>-5.6194966373153993E-2</v>
          </cell>
          <cell r="J33" t="str">
            <v>TOTAL PLAZAS</v>
          </cell>
          <cell r="K33">
            <v>28475</v>
          </cell>
          <cell r="M33">
            <v>25676</v>
          </cell>
          <cell r="O33">
            <v>-9.8296751536435467E-2</v>
          </cell>
        </row>
        <row r="34">
          <cell r="C34" t="str">
            <v>HOTELERAS</v>
          </cell>
          <cell r="D34">
            <v>16831</v>
          </cell>
          <cell r="F34">
            <v>16442</v>
          </cell>
          <cell r="H34">
            <v>-2.3112114550531755E-2</v>
          </cell>
          <cell r="J34" t="str">
            <v>HOTELERAS</v>
          </cell>
          <cell r="K34">
            <v>17038</v>
          </cell>
          <cell r="M34">
            <v>16158</v>
          </cell>
          <cell r="O34">
            <v>-5.1649254607348281E-2</v>
          </cell>
        </row>
        <row r="35">
          <cell r="C35" t="str">
            <v>4 y 5 estrellas</v>
          </cell>
          <cell r="D35">
            <v>13239</v>
          </cell>
          <cell r="F35">
            <v>12955</v>
          </cell>
          <cell r="G35">
            <v>0.47584940312213042</v>
          </cell>
          <cell r="H35">
            <v>-2.1451771281818868E-2</v>
          </cell>
          <cell r="J35" t="str">
            <v>4 y 5 estrellas</v>
          </cell>
          <cell r="K35">
            <v>13551</v>
          </cell>
          <cell r="M35">
            <v>12955</v>
          </cell>
          <cell r="N35">
            <v>0.50455678454587938</v>
          </cell>
          <cell r="O35">
            <v>-4.3981993948786068E-2</v>
          </cell>
        </row>
        <row r="36">
          <cell r="C36" t="str">
            <v>3 estrellas</v>
          </cell>
          <cell r="D36">
            <v>3219</v>
          </cell>
          <cell r="F36">
            <v>3114</v>
          </cell>
          <cell r="G36">
            <v>0.11438016528925619</v>
          </cell>
          <cell r="H36">
            <v>-3.2618825722273995E-2</v>
          </cell>
          <cell r="J36" t="str">
            <v>3 estrellas</v>
          </cell>
          <cell r="K36">
            <v>3114</v>
          </cell>
          <cell r="M36">
            <v>2830</v>
          </cell>
          <cell r="N36">
            <v>0.11021966038323726</v>
          </cell>
          <cell r="O36">
            <v>-9.1201027617212591E-2</v>
          </cell>
        </row>
        <row r="37">
          <cell r="C37" t="str">
            <v>1 Y 2 estrellas</v>
          </cell>
          <cell r="D37">
            <v>373</v>
          </cell>
          <cell r="F37">
            <v>373</v>
          </cell>
          <cell r="G37">
            <v>1.3700642791551882E-2</v>
          </cell>
          <cell r="H37">
            <v>0</v>
          </cell>
          <cell r="J37" t="str">
            <v>1 Y 2 estrellas</v>
          </cell>
          <cell r="K37">
            <v>373</v>
          </cell>
          <cell r="M37">
            <v>373</v>
          </cell>
          <cell r="N37">
            <v>1.4527184919769435E-2</v>
          </cell>
          <cell r="O37">
            <v>0</v>
          </cell>
        </row>
        <row r="38">
          <cell r="C38" t="str">
            <v>EXTRAHOTELERAS</v>
          </cell>
          <cell r="D38">
            <v>12015</v>
          </cell>
          <cell r="F38">
            <v>10783</v>
          </cell>
          <cell r="G38">
            <v>0.39606978879706151</v>
          </cell>
          <cell r="H38">
            <v>-0.10253849354972951</v>
          </cell>
          <cell r="J38" t="str">
            <v>EXTRAHOTELERAS</v>
          </cell>
          <cell r="K38">
            <v>11437</v>
          </cell>
          <cell r="M38">
            <v>9518</v>
          </cell>
          <cell r="N38">
            <v>0.3706963701511139</v>
          </cell>
          <cell r="O38">
            <v>-0.16778875579260297</v>
          </cell>
        </row>
        <row r="42">
          <cell r="C42" t="str">
            <v>PLAZAS ALOJATIVAS ESTIMADAS EN SANTA CRUZ SEGÚN TIPOLOGÍA Y CATEGORÍA (*)</v>
          </cell>
          <cell r="J42" t="str">
            <v>PLAZAS ALOJATIVAS ESTIMADAS EN SANTA CRUZ SEGÚN TIPOLOGÍA Y CATEGORÍA (*)</v>
          </cell>
        </row>
        <row r="43">
          <cell r="D43" t="str">
            <v>I semestre 2009</v>
          </cell>
          <cell r="F43" t="str">
            <v>I semestre 2010</v>
          </cell>
          <cell r="H43" t="str">
            <v>var. interanual</v>
          </cell>
          <cell r="K43" t="str">
            <v>II semestre 2009</v>
          </cell>
          <cell r="M43" t="str">
            <v>II semestre 2010</v>
          </cell>
          <cell r="O43" t="str">
            <v>var. interanual</v>
          </cell>
        </row>
        <row r="44">
          <cell r="C44" t="str">
            <v>TOTAL PLAZAS</v>
          </cell>
          <cell r="D44">
            <v>2531</v>
          </cell>
          <cell r="F44">
            <v>2504</v>
          </cell>
          <cell r="H44">
            <v>-1.066772026866851E-2</v>
          </cell>
          <cell r="K44">
            <v>2504</v>
          </cell>
          <cell r="M44">
            <v>1947</v>
          </cell>
          <cell r="O44">
            <v>-0.222444089456869</v>
          </cell>
        </row>
        <row r="45">
          <cell r="C45" t="str">
            <v>HOTELERAS</v>
          </cell>
          <cell r="D45">
            <v>2531</v>
          </cell>
          <cell r="F45">
            <v>2504</v>
          </cell>
          <cell r="H45">
            <v>-1.066772026866851E-2</v>
          </cell>
          <cell r="K45">
            <v>2504</v>
          </cell>
          <cell r="M45">
            <v>1947</v>
          </cell>
          <cell r="O45">
            <v>-0.222444089456869</v>
          </cell>
        </row>
        <row r="46">
          <cell r="C46" t="str">
            <v>4 y 5 estrellas</v>
          </cell>
          <cell r="D46">
            <v>1050</v>
          </cell>
          <cell r="F46">
            <v>1050</v>
          </cell>
          <cell r="G46">
            <v>0.41932907348242809</v>
          </cell>
          <cell r="H46">
            <v>0</v>
          </cell>
          <cell r="J46" t="str">
            <v>4 y 5 estrellas</v>
          </cell>
          <cell r="K46">
            <v>1050</v>
          </cell>
          <cell r="M46">
            <v>493</v>
          </cell>
          <cell r="N46">
            <v>0.25321006676938879</v>
          </cell>
          <cell r="O46">
            <v>-0.53047619047619043</v>
          </cell>
        </row>
        <row r="47">
          <cell r="C47" t="str">
            <v>3 estrellas</v>
          </cell>
          <cell r="D47">
            <v>580</v>
          </cell>
          <cell r="F47">
            <v>580</v>
          </cell>
          <cell r="G47">
            <v>0.23162939297124602</v>
          </cell>
          <cell r="H47">
            <v>0</v>
          </cell>
          <cell r="J47" t="str">
            <v>3 estrellas</v>
          </cell>
          <cell r="K47">
            <v>580</v>
          </cell>
          <cell r="M47">
            <v>580</v>
          </cell>
          <cell r="N47">
            <v>0.29789419619928093</v>
          </cell>
          <cell r="O47">
            <v>0</v>
          </cell>
        </row>
        <row r="48">
          <cell r="C48" t="str">
            <v>2 estrellas</v>
          </cell>
          <cell r="D48">
            <v>674</v>
          </cell>
          <cell r="F48">
            <v>674</v>
          </cell>
          <cell r="G48">
            <v>0.26916932907348246</v>
          </cell>
          <cell r="H48">
            <v>0</v>
          </cell>
          <cell r="J48" t="str">
            <v>2 estrellas</v>
          </cell>
          <cell r="K48">
            <v>674</v>
          </cell>
          <cell r="M48">
            <v>674</v>
          </cell>
          <cell r="N48">
            <v>0.34617360041088857</v>
          </cell>
          <cell r="O48">
            <v>0</v>
          </cell>
        </row>
        <row r="49">
          <cell r="C49" t="str">
            <v>1 estrellas</v>
          </cell>
          <cell r="D49">
            <v>227</v>
          </cell>
          <cell r="F49">
            <v>200</v>
          </cell>
          <cell r="G49">
            <v>7.9872204472843447E-2</v>
          </cell>
          <cell r="H49">
            <v>-0.11894273127753303</v>
          </cell>
          <cell r="J49" t="str">
            <v>1 estrellas</v>
          </cell>
          <cell r="K49">
            <v>200</v>
          </cell>
          <cell r="M49">
            <v>200</v>
          </cell>
          <cell r="N49">
            <v>0.1027221366204417</v>
          </cell>
          <cell r="O49">
            <v>0</v>
          </cell>
        </row>
        <row r="50">
          <cell r="C50" t="str">
            <v>EXTRAHOTELERAS</v>
          </cell>
          <cell r="D50">
            <v>0</v>
          </cell>
          <cell r="F50">
            <v>0</v>
          </cell>
          <cell r="H50" t="str">
            <v>-</v>
          </cell>
          <cell r="K50">
            <v>0</v>
          </cell>
          <cell r="M50">
            <v>0</v>
          </cell>
          <cell r="O50" t="str">
            <v>-</v>
          </cell>
        </row>
      </sheetData>
      <sheetData sheetId="124"/>
      <sheetData sheetId="125"/>
      <sheetData sheetId="126"/>
      <sheetData sheetId="127">
        <row r="1">
          <cell r="A1" t="str">
            <v>Alta_Baja</v>
          </cell>
        </row>
      </sheetData>
      <sheetData sheetId="128">
        <row r="5">
          <cell r="D5" t="str">
            <v>julio 2010</v>
          </cell>
        </row>
        <row r="6">
          <cell r="D6" t="str">
            <v>TOTAL PLAZAS</v>
          </cell>
          <cell r="E6" t="str">
            <v>HOTELEROS</v>
          </cell>
          <cell r="F6" t="str">
            <v>EXTRAHOTELEROS</v>
          </cell>
          <cell r="G6" t="str">
            <v>HOTELES RURALES</v>
          </cell>
          <cell r="H6" t="str">
            <v>CASAS RURALES</v>
          </cell>
        </row>
        <row r="38">
          <cell r="D38">
            <v>134373</v>
          </cell>
          <cell r="E38">
            <v>81957</v>
          </cell>
          <cell r="F38">
            <v>51167</v>
          </cell>
          <cell r="G38">
            <v>473</v>
          </cell>
          <cell r="H38">
            <v>776</v>
          </cell>
        </row>
      </sheetData>
      <sheetData sheetId="129"/>
      <sheetData sheetId="130"/>
      <sheetData sheetId="131">
        <row r="4">
          <cell r="A4" t="str">
            <v>Suma de Plazas</v>
          </cell>
        </row>
      </sheetData>
      <sheetData sheetId="132">
        <row r="6">
          <cell r="C6" t="str">
            <v xml:space="preserve">DISTRIBUCIÓN DE LAS PLAZAS TURÍSTICAS AUTORIZADAS EN ADEJE SEGÚN TIPOLOGÍA Y CATEGORÍA </v>
          </cell>
          <cell r="G6" t="str">
            <v xml:space="preserve">DISTRIBUCIÓN DE LAS PLAZAS TURÍSTICAS AUTORIZADAS EN ARONA SEGÚN TIPOLOGÍA Y CATEGORÍA </v>
          </cell>
        </row>
        <row r="7">
          <cell r="D7" t="str">
            <v>julio 2010</v>
          </cell>
          <cell r="H7" t="str">
            <v>julio 2010</v>
          </cell>
        </row>
        <row r="9">
          <cell r="C9" t="str">
            <v>Hoteleras</v>
          </cell>
          <cell r="E9">
            <v>0.71499852002198827</v>
          </cell>
          <cell r="G9" t="str">
            <v>Hoteleras</v>
          </cell>
          <cell r="I9">
            <v>0.41962142080921933</v>
          </cell>
        </row>
        <row r="16">
          <cell r="C16" t="str">
            <v>Extrahoteleras</v>
          </cell>
          <cell r="E16">
            <v>0.28424034842910906</v>
          </cell>
          <cell r="G16" t="str">
            <v>Extrahoteleras</v>
          </cell>
          <cell r="I16">
            <v>0.57987313300816301</v>
          </cell>
        </row>
        <row r="23">
          <cell r="C23" t="str">
            <v>Hoteles Rurales</v>
          </cell>
          <cell r="E23">
            <v>4.6513594655165123E-4</v>
          </cell>
          <cell r="G23" t="str">
            <v>Hoteles Rurales</v>
          </cell>
          <cell r="I23">
            <v>0</v>
          </cell>
        </row>
        <row r="27">
          <cell r="C27" t="str">
            <v>Casas Rurales</v>
          </cell>
          <cell r="E27">
            <v>2.9599560235105078E-4</v>
          </cell>
          <cell r="G27" t="str">
            <v>Casas Rurales</v>
          </cell>
          <cell r="I27">
            <v>5.0544618261770579E-4</v>
          </cell>
        </row>
        <row r="35">
          <cell r="C35" t="str">
            <v xml:space="preserve">DISTRIBUCIÓN DE LAS PLAZAS TURÍSTICAS AUTORIZADAS EN PUERTO DE LA CRUZ SEGÚN TIPOLOGÍA Y CATEGORÍA </v>
          </cell>
          <cell r="G35" t="str">
            <v xml:space="preserve">DISTRIBUCIÓN DE LAS PLAZAS TURÍSTICAS AUTORIZADAS EN SANTA CRUZ SEGÚN TIPOLOGÍA Y CATEGORÍA </v>
          </cell>
        </row>
        <row r="36">
          <cell r="D36" t="str">
            <v>julio 2010</v>
          </cell>
          <cell r="H36" t="str">
            <v>julio 2010</v>
          </cell>
        </row>
        <row r="38">
          <cell r="C38" t="str">
            <v>Hoteleras</v>
          </cell>
          <cell r="E38">
            <v>0.70570609692548203</v>
          </cell>
          <cell r="G38" t="str">
            <v>Hoteleras</v>
          </cell>
          <cell r="I38">
            <v>0.99478972832154822</v>
          </cell>
        </row>
        <row r="45">
          <cell r="C45" t="str">
            <v>Extrahoteleras</v>
          </cell>
          <cell r="E45">
            <v>0.29429390307451797</v>
          </cell>
          <cell r="G45" t="str">
            <v>Extrahoteleras</v>
          </cell>
          <cell r="I45">
            <v>2.2329735764793448E-3</v>
          </cell>
        </row>
        <row r="56">
          <cell r="C56" t="str">
            <v>Casas Rurales</v>
          </cell>
          <cell r="E56">
            <v>0</v>
          </cell>
          <cell r="G56" t="str">
            <v>Casas Rurales</v>
          </cell>
          <cell r="I56">
            <v>2.9772981019724602E-3</v>
          </cell>
        </row>
      </sheetData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SUR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ADEJE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  <row r="25">
          <cell r="A25" t="str">
            <v>TOTAL</v>
          </cell>
          <cell r="B25" t="str">
            <v>Total</v>
          </cell>
          <cell r="D25" t="str">
            <v>TOTAL</v>
          </cell>
          <cell r="E25" t="str">
            <v>Total</v>
          </cell>
        </row>
        <row r="26">
          <cell r="B26" t="str">
            <v>Hotelera</v>
          </cell>
          <cell r="E26" t="str">
            <v>Hotelera</v>
          </cell>
        </row>
        <row r="27">
          <cell r="B27" t="str">
            <v>Extrahotelera</v>
          </cell>
          <cell r="E27" t="str">
            <v>Extrahotelera</v>
          </cell>
        </row>
        <row r="28">
          <cell r="A28" t="str">
            <v>ZONA 1</v>
          </cell>
          <cell r="B28" t="str">
            <v>Total</v>
          </cell>
          <cell r="D28" t="str">
            <v>ADEJE</v>
          </cell>
          <cell r="E28" t="str">
            <v>Total</v>
          </cell>
        </row>
        <row r="29">
          <cell r="B29" t="str">
            <v>Hotelera</v>
          </cell>
          <cell r="E29" t="str">
            <v>Hotelera</v>
          </cell>
        </row>
        <row r="30">
          <cell r="B30" t="str">
            <v>Extrahotelera</v>
          </cell>
          <cell r="E30" t="str">
            <v>Extrahotelera</v>
          </cell>
        </row>
        <row r="31">
          <cell r="A31" t="str">
            <v>ZONA 2</v>
          </cell>
          <cell r="B31" t="str">
            <v>Total</v>
          </cell>
          <cell r="D31" t="str">
            <v>ARONA</v>
          </cell>
          <cell r="E31" t="str">
            <v>Total</v>
          </cell>
        </row>
        <row r="32">
          <cell r="B32" t="str">
            <v>Hotelera</v>
          </cell>
          <cell r="E32" t="str">
            <v>Hotelera</v>
          </cell>
        </row>
        <row r="33">
          <cell r="B33" t="str">
            <v>Extrahotelera</v>
          </cell>
          <cell r="E33" t="str">
            <v>Extrahotelera</v>
          </cell>
        </row>
        <row r="34">
          <cell r="A34" t="str">
            <v>ZONA 3</v>
          </cell>
          <cell r="B34" t="str">
            <v>Total</v>
          </cell>
          <cell r="D34" t="str">
            <v>PUERTO DE LA CRUZ</v>
          </cell>
          <cell r="E34" t="str">
            <v>Total</v>
          </cell>
        </row>
        <row r="35">
          <cell r="B35" t="str">
            <v>Hotelera</v>
          </cell>
          <cell r="E35" t="str">
            <v>Hotelera</v>
          </cell>
        </row>
        <row r="36">
          <cell r="B36" t="str">
            <v>Extrahotelera</v>
          </cell>
          <cell r="E36" t="str">
            <v>Extrahotelera</v>
          </cell>
        </row>
        <row r="37">
          <cell r="A37" t="str">
            <v>PUERTO DE LA CRUZ</v>
          </cell>
          <cell r="B37" t="str">
            <v>Total</v>
          </cell>
          <cell r="D37" t="str">
            <v>SANTA CRUZ</v>
          </cell>
          <cell r="E37" t="str">
            <v>Total</v>
          </cell>
        </row>
        <row r="38">
          <cell r="B38" t="str">
            <v>Hotelera</v>
          </cell>
          <cell r="E38" t="str">
            <v>Hotelera</v>
          </cell>
        </row>
        <row r="39">
          <cell r="B39" t="str">
            <v>Extrahotelera</v>
          </cell>
          <cell r="E39" t="str">
            <v>Extrahotelera</v>
          </cell>
        </row>
        <row r="40">
          <cell r="A40" t="str">
            <v>ZONA 4</v>
          </cell>
          <cell r="B40" t="str">
            <v>Total</v>
          </cell>
        </row>
        <row r="41">
          <cell r="B41" t="str">
            <v>Hotelera</v>
          </cell>
        </row>
        <row r="42">
          <cell r="B42" t="str">
            <v>Extrahotelera</v>
          </cell>
        </row>
        <row r="43">
          <cell r="A43" t="str">
            <v>ADEJE</v>
          </cell>
          <cell r="B43" t="str">
            <v>Total</v>
          </cell>
        </row>
        <row r="44">
          <cell r="B44" t="str">
            <v>Hotelera</v>
          </cell>
        </row>
        <row r="45">
          <cell r="B45" t="str">
            <v>Extrahotelera</v>
          </cell>
        </row>
        <row r="46">
          <cell r="A46" t="str">
            <v>ARONA</v>
          </cell>
          <cell r="B46" t="str">
            <v>Total</v>
          </cell>
        </row>
        <row r="47">
          <cell r="B47" t="str">
            <v>Hotelera</v>
          </cell>
        </row>
        <row r="48">
          <cell r="B48" t="str">
            <v>Extrahotelera</v>
          </cell>
        </row>
      </sheetData>
      <sheetData sheetId="151">
        <row r="2">
          <cell r="A2" t="str">
            <v xml:space="preserve">acumulado julio 2010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uristas por categorías 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8.vml"/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9.vml"/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0.vml"/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1.vml"/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3.v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04.bin"/><Relationship Id="rId4" Type="http://schemas.openxmlformats.org/officeDocument/2006/relationships/comments" Target="../comments2.xml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4.vml"/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05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2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3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4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5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6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7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8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9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0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1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2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3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4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5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6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7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8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9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0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1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2.vml"/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3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4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5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6.vml"/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7.vml"/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J68"/>
  <sheetViews>
    <sheetView showGridLines="0" showRowColHeaders="0" tabSelected="1" showOutlineSymbols="0" zoomScaleNormal="100" workbookViewId="0">
      <selection activeCell="B25" sqref="B25"/>
    </sheetView>
  </sheetViews>
  <sheetFormatPr baseColWidth="10" defaultRowHeight="12.75"/>
  <cols>
    <col min="1" max="2" width="13.42578125" style="2" customWidth="1"/>
    <col min="3" max="4" width="5.7109375" style="2" customWidth="1"/>
    <col min="5" max="5" width="88" style="2" bestFit="1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0.25">
      <c r="C5" s="1"/>
      <c r="D5" s="3" t="s">
        <v>0</v>
      </c>
      <c r="E5" s="3"/>
      <c r="F5" s="3"/>
      <c r="G5" s="1"/>
    </row>
    <row r="6" spans="3:7" ht="20.100000000000001" customHeight="1">
      <c r="C6" s="1"/>
      <c r="D6" s="3" t="str">
        <f>actualizaciones!A2</f>
        <v xml:space="preserve">acumulado julio 2010 </v>
      </c>
      <c r="E6" s="3"/>
      <c r="F6" s="3"/>
      <c r="G6" s="1"/>
    </row>
    <row r="7" spans="3:7" ht="20.100000000000001" customHeight="1">
      <c r="C7" s="1"/>
      <c r="D7" s="4"/>
      <c r="E7" s="4"/>
      <c r="F7" s="4"/>
      <c r="G7" s="1"/>
    </row>
    <row r="8" spans="3:7" ht="20.100000000000001" customHeight="1">
      <c r="C8" s="1"/>
      <c r="D8" s="5"/>
      <c r="E8" s="5"/>
      <c r="F8" s="5"/>
      <c r="G8" s="1"/>
    </row>
    <row r="9" spans="3:7" ht="15" customHeight="1">
      <c r="C9" s="1"/>
      <c r="D9" s="6"/>
      <c r="E9" s="7"/>
      <c r="F9" s="6"/>
      <c r="G9" s="1"/>
    </row>
    <row r="10" spans="3:7" ht="24.95" customHeight="1">
      <c r="C10" s="1"/>
      <c r="D10" s="6"/>
      <c r="E10" s="8" t="s">
        <v>1</v>
      </c>
      <c r="F10" s="6"/>
      <c r="G10" s="1"/>
    </row>
    <row r="11" spans="3:7" ht="24.95" customHeight="1">
      <c r="C11" s="1"/>
      <c r="D11" s="6"/>
      <c r="E11" s="8" t="s">
        <v>2</v>
      </c>
      <c r="F11" s="6"/>
      <c r="G11" s="1"/>
    </row>
    <row r="12" spans="3:7" ht="24.95" customHeight="1">
      <c r="C12" s="1"/>
      <c r="D12" s="6"/>
      <c r="E12" s="8" t="s">
        <v>3</v>
      </c>
      <c r="F12" s="6"/>
      <c r="G12" s="1"/>
    </row>
    <row r="13" spans="3:7" ht="24.95" customHeight="1">
      <c r="C13" s="1"/>
      <c r="D13" s="6"/>
      <c r="E13" s="8" t="s">
        <v>4</v>
      </c>
      <c r="F13" s="6"/>
      <c r="G13" s="1"/>
    </row>
    <row r="14" spans="3:7" ht="24.95" customHeight="1">
      <c r="C14" s="1"/>
      <c r="D14" s="6"/>
      <c r="E14" s="8" t="s">
        <v>5</v>
      </c>
      <c r="F14" s="6"/>
      <c r="G14" s="1"/>
    </row>
    <row r="15" spans="3:7" ht="24.95" customHeight="1">
      <c r="C15" s="1"/>
      <c r="D15" s="6"/>
      <c r="E15" s="8" t="s">
        <v>6</v>
      </c>
      <c r="F15" s="6"/>
      <c r="G15" s="1"/>
    </row>
    <row r="16" spans="3:7" ht="24.95" customHeight="1">
      <c r="C16" s="1"/>
      <c r="D16" s="6"/>
      <c r="E16" s="8" t="s">
        <v>7</v>
      </c>
      <c r="F16" s="6"/>
      <c r="G16" s="1"/>
    </row>
    <row r="17" spans="3:10" ht="15" customHeight="1">
      <c r="C17" s="1"/>
      <c r="D17" s="6"/>
      <c r="E17" s="9"/>
      <c r="F17" s="6"/>
      <c r="G17" s="1"/>
    </row>
    <row r="18" spans="3:10" ht="20.100000000000001" customHeight="1">
      <c r="C18" s="1"/>
      <c r="D18" s="10"/>
      <c r="E18" s="10"/>
      <c r="F18" s="10"/>
      <c r="G18" s="1"/>
    </row>
    <row r="19" spans="3:10" ht="20.100000000000001" customHeight="1">
      <c r="C19" s="1"/>
      <c r="D19" s="1"/>
      <c r="E19" s="1"/>
      <c r="F19" s="1"/>
      <c r="G19" s="1"/>
    </row>
    <row r="21" spans="3:10" ht="15" customHeight="1"/>
    <row r="22" spans="3:10" ht="15" customHeight="1">
      <c r="C22" s="11" t="s">
        <v>8</v>
      </c>
      <c r="D22" s="11"/>
      <c r="E22" s="11"/>
      <c r="F22" s="11"/>
      <c r="G22" s="11"/>
    </row>
    <row r="23" spans="3:10" ht="15" customHeight="1"/>
    <row r="24" spans="3:10" ht="15" customHeight="1"/>
    <row r="25" spans="3:10" ht="15" customHeight="1">
      <c r="J25" s="12"/>
    </row>
    <row r="26" spans="3:10" ht="15" customHeight="1">
      <c r="C26" s="12"/>
      <c r="D26" s="12"/>
      <c r="E26" s="12"/>
      <c r="F26" s="12"/>
      <c r="G26" s="12"/>
      <c r="H26" s="12"/>
      <c r="I26" s="12"/>
    </row>
    <row r="27" spans="3:10" ht="15" customHeight="1"/>
    <row r="28" spans="3:10" ht="15" customHeight="1"/>
    <row r="29" spans="3:10" ht="15" customHeight="1"/>
    <row r="30" spans="3:10" ht="15" customHeight="1"/>
    <row r="31" spans="3:10" ht="15" customHeight="1"/>
    <row r="32" spans="3:10" ht="15" customHeight="1"/>
    <row r="33" spans="2:2" ht="15" customHeight="1"/>
    <row r="34" spans="2:2" ht="15" customHeight="1"/>
    <row r="35" spans="2:2" ht="15" customHeight="1"/>
    <row r="36" spans="2:2" ht="15" customHeight="1"/>
    <row r="37" spans="2:2" ht="15" customHeight="1"/>
    <row r="38" spans="2:2" ht="15" customHeight="1">
      <c r="B38" s="13"/>
    </row>
    <row r="39" spans="2:2" ht="15" customHeight="1"/>
    <row r="40" spans="2:2" ht="15" customHeight="1"/>
    <row r="41" spans="2:2" ht="15" customHeight="1"/>
    <row r="42" spans="2:2" ht="15" customHeight="1"/>
    <row r="43" spans="2:2" ht="15" customHeight="1"/>
    <row r="44" spans="2:2" ht="15" customHeight="1"/>
    <row r="45" spans="2:2" ht="15" customHeight="1"/>
    <row r="46" spans="2:2" ht="15" customHeight="1"/>
    <row r="47" spans="2:2" ht="15" customHeight="1"/>
    <row r="48" spans="2:2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</sheetData>
  <mergeCells count="3">
    <mergeCell ref="D5:F5"/>
    <mergeCell ref="D6:F6"/>
    <mergeCell ref="C22:G22"/>
  </mergeCells>
  <hyperlinks>
    <hyperlink ref="E10" location="'Menú Turismo alojado'!A1" tooltip="Ir a menú turismo alojado" display="Turismo alojado (2003 - 2004)"/>
    <hyperlink ref="E11" location="'Menú Pernoctaciones'!A1" tooltip="Ir a menú pernoctaciones" display="Pernoctaciones (2003 - 2004)"/>
    <hyperlink ref="E12" location="'Menú IO'!A1" tooltip="Ir a menú Indice de Ocupación" display="Indices de ocupación"/>
    <hyperlink ref="E13" location="'Menú EM'!A1" tooltip="Ir a menú Estancias Medias" display="Estancias Medias "/>
    <hyperlink ref="E15" location="'Menú Oferta Alojativa'!A1" tooltip="Ir a menú Plazas alojativas estimadas" display="Plazas alojativas estimadas"/>
    <hyperlink ref="E16" location="'Menú plazas autorizadas'!A1" tooltip="Ir a menú plazas alojativas autorizadas" display="Plazas alojativas autorizadas"/>
    <hyperlink ref="E14" location="'Menú municipios turísticos'!A1" tooltip="Municipios turísticos" display="Municipios turísticos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13">
    <tabColor theme="4" tint="-0.499984740745262"/>
    <pageSetUpPr autoPageBreaks="0" fitToPage="1"/>
  </sheetPr>
  <dimension ref="D6:N80"/>
  <sheetViews>
    <sheetView showGridLines="0" showRowColHeaders="0" showOutlineSymbols="0" zoomScaleNormal="100" workbookViewId="0">
      <selection activeCell="B25" sqref="B25"/>
    </sheetView>
  </sheetViews>
  <sheetFormatPr baseColWidth="10" defaultRowHeight="12.75"/>
  <cols>
    <col min="1" max="2" width="11.42578125" style="2"/>
    <col min="3" max="3" width="7.42578125" style="2" customWidth="1"/>
    <col min="4" max="5" width="10.7109375" style="2" customWidth="1"/>
    <col min="6" max="6" width="73.85546875" style="2" bestFit="1" customWidth="1"/>
    <col min="7" max="7" width="10.7109375" style="2" customWidth="1"/>
    <col min="8" max="258" width="11.42578125" style="2"/>
    <col min="259" max="259" width="7.42578125" style="2" customWidth="1"/>
    <col min="260" max="261" width="10.7109375" style="2" customWidth="1"/>
    <col min="262" max="262" width="73.85546875" style="2" bestFit="1" customWidth="1"/>
    <col min="263" max="263" width="10.7109375" style="2" customWidth="1"/>
    <col min="264" max="514" width="11.42578125" style="2"/>
    <col min="515" max="515" width="7.42578125" style="2" customWidth="1"/>
    <col min="516" max="517" width="10.7109375" style="2" customWidth="1"/>
    <col min="518" max="518" width="73.85546875" style="2" bestFit="1" customWidth="1"/>
    <col min="519" max="519" width="10.7109375" style="2" customWidth="1"/>
    <col min="520" max="770" width="11.42578125" style="2"/>
    <col min="771" max="771" width="7.42578125" style="2" customWidth="1"/>
    <col min="772" max="773" width="10.7109375" style="2" customWidth="1"/>
    <col min="774" max="774" width="73.85546875" style="2" bestFit="1" customWidth="1"/>
    <col min="775" max="775" width="10.7109375" style="2" customWidth="1"/>
    <col min="776" max="1026" width="11.42578125" style="2"/>
    <col min="1027" max="1027" width="7.42578125" style="2" customWidth="1"/>
    <col min="1028" max="1029" width="10.7109375" style="2" customWidth="1"/>
    <col min="1030" max="1030" width="73.85546875" style="2" bestFit="1" customWidth="1"/>
    <col min="1031" max="1031" width="10.7109375" style="2" customWidth="1"/>
    <col min="1032" max="1282" width="11.42578125" style="2"/>
    <col min="1283" max="1283" width="7.42578125" style="2" customWidth="1"/>
    <col min="1284" max="1285" width="10.7109375" style="2" customWidth="1"/>
    <col min="1286" max="1286" width="73.85546875" style="2" bestFit="1" customWidth="1"/>
    <col min="1287" max="1287" width="10.7109375" style="2" customWidth="1"/>
    <col min="1288" max="1538" width="11.42578125" style="2"/>
    <col min="1539" max="1539" width="7.42578125" style="2" customWidth="1"/>
    <col min="1540" max="1541" width="10.7109375" style="2" customWidth="1"/>
    <col min="1542" max="1542" width="73.85546875" style="2" bestFit="1" customWidth="1"/>
    <col min="1543" max="1543" width="10.7109375" style="2" customWidth="1"/>
    <col min="1544" max="1794" width="11.42578125" style="2"/>
    <col min="1795" max="1795" width="7.42578125" style="2" customWidth="1"/>
    <col min="1796" max="1797" width="10.7109375" style="2" customWidth="1"/>
    <col min="1798" max="1798" width="73.85546875" style="2" bestFit="1" customWidth="1"/>
    <col min="1799" max="1799" width="10.7109375" style="2" customWidth="1"/>
    <col min="1800" max="2050" width="11.42578125" style="2"/>
    <col min="2051" max="2051" width="7.42578125" style="2" customWidth="1"/>
    <col min="2052" max="2053" width="10.7109375" style="2" customWidth="1"/>
    <col min="2054" max="2054" width="73.85546875" style="2" bestFit="1" customWidth="1"/>
    <col min="2055" max="2055" width="10.7109375" style="2" customWidth="1"/>
    <col min="2056" max="2306" width="11.42578125" style="2"/>
    <col min="2307" max="2307" width="7.42578125" style="2" customWidth="1"/>
    <col min="2308" max="2309" width="10.7109375" style="2" customWidth="1"/>
    <col min="2310" max="2310" width="73.85546875" style="2" bestFit="1" customWidth="1"/>
    <col min="2311" max="2311" width="10.7109375" style="2" customWidth="1"/>
    <col min="2312" max="2562" width="11.42578125" style="2"/>
    <col min="2563" max="2563" width="7.42578125" style="2" customWidth="1"/>
    <col min="2564" max="2565" width="10.7109375" style="2" customWidth="1"/>
    <col min="2566" max="2566" width="73.85546875" style="2" bestFit="1" customWidth="1"/>
    <col min="2567" max="2567" width="10.7109375" style="2" customWidth="1"/>
    <col min="2568" max="2818" width="11.42578125" style="2"/>
    <col min="2819" max="2819" width="7.42578125" style="2" customWidth="1"/>
    <col min="2820" max="2821" width="10.7109375" style="2" customWidth="1"/>
    <col min="2822" max="2822" width="73.85546875" style="2" bestFit="1" customWidth="1"/>
    <col min="2823" max="2823" width="10.7109375" style="2" customWidth="1"/>
    <col min="2824" max="3074" width="11.42578125" style="2"/>
    <col min="3075" max="3075" width="7.42578125" style="2" customWidth="1"/>
    <col min="3076" max="3077" width="10.7109375" style="2" customWidth="1"/>
    <col min="3078" max="3078" width="73.85546875" style="2" bestFit="1" customWidth="1"/>
    <col min="3079" max="3079" width="10.7109375" style="2" customWidth="1"/>
    <col min="3080" max="3330" width="11.42578125" style="2"/>
    <col min="3331" max="3331" width="7.42578125" style="2" customWidth="1"/>
    <col min="3332" max="3333" width="10.7109375" style="2" customWidth="1"/>
    <col min="3334" max="3334" width="73.85546875" style="2" bestFit="1" customWidth="1"/>
    <col min="3335" max="3335" width="10.7109375" style="2" customWidth="1"/>
    <col min="3336" max="3586" width="11.42578125" style="2"/>
    <col min="3587" max="3587" width="7.42578125" style="2" customWidth="1"/>
    <col min="3588" max="3589" width="10.7109375" style="2" customWidth="1"/>
    <col min="3590" max="3590" width="73.85546875" style="2" bestFit="1" customWidth="1"/>
    <col min="3591" max="3591" width="10.7109375" style="2" customWidth="1"/>
    <col min="3592" max="3842" width="11.42578125" style="2"/>
    <col min="3843" max="3843" width="7.42578125" style="2" customWidth="1"/>
    <col min="3844" max="3845" width="10.7109375" style="2" customWidth="1"/>
    <col min="3846" max="3846" width="73.85546875" style="2" bestFit="1" customWidth="1"/>
    <col min="3847" max="3847" width="10.7109375" style="2" customWidth="1"/>
    <col min="3848" max="4098" width="11.42578125" style="2"/>
    <col min="4099" max="4099" width="7.42578125" style="2" customWidth="1"/>
    <col min="4100" max="4101" width="10.7109375" style="2" customWidth="1"/>
    <col min="4102" max="4102" width="73.85546875" style="2" bestFit="1" customWidth="1"/>
    <col min="4103" max="4103" width="10.7109375" style="2" customWidth="1"/>
    <col min="4104" max="4354" width="11.42578125" style="2"/>
    <col min="4355" max="4355" width="7.42578125" style="2" customWidth="1"/>
    <col min="4356" max="4357" width="10.7109375" style="2" customWidth="1"/>
    <col min="4358" max="4358" width="73.85546875" style="2" bestFit="1" customWidth="1"/>
    <col min="4359" max="4359" width="10.7109375" style="2" customWidth="1"/>
    <col min="4360" max="4610" width="11.42578125" style="2"/>
    <col min="4611" max="4611" width="7.42578125" style="2" customWidth="1"/>
    <col min="4612" max="4613" width="10.7109375" style="2" customWidth="1"/>
    <col min="4614" max="4614" width="73.85546875" style="2" bestFit="1" customWidth="1"/>
    <col min="4615" max="4615" width="10.7109375" style="2" customWidth="1"/>
    <col min="4616" max="4866" width="11.42578125" style="2"/>
    <col min="4867" max="4867" width="7.42578125" style="2" customWidth="1"/>
    <col min="4868" max="4869" width="10.7109375" style="2" customWidth="1"/>
    <col min="4870" max="4870" width="73.85546875" style="2" bestFit="1" customWidth="1"/>
    <col min="4871" max="4871" width="10.7109375" style="2" customWidth="1"/>
    <col min="4872" max="5122" width="11.42578125" style="2"/>
    <col min="5123" max="5123" width="7.42578125" style="2" customWidth="1"/>
    <col min="5124" max="5125" width="10.7109375" style="2" customWidth="1"/>
    <col min="5126" max="5126" width="73.85546875" style="2" bestFit="1" customWidth="1"/>
    <col min="5127" max="5127" width="10.7109375" style="2" customWidth="1"/>
    <col min="5128" max="5378" width="11.42578125" style="2"/>
    <col min="5379" max="5379" width="7.42578125" style="2" customWidth="1"/>
    <col min="5380" max="5381" width="10.7109375" style="2" customWidth="1"/>
    <col min="5382" max="5382" width="73.85546875" style="2" bestFit="1" customWidth="1"/>
    <col min="5383" max="5383" width="10.7109375" style="2" customWidth="1"/>
    <col min="5384" max="5634" width="11.42578125" style="2"/>
    <col min="5635" max="5635" width="7.42578125" style="2" customWidth="1"/>
    <col min="5636" max="5637" width="10.7109375" style="2" customWidth="1"/>
    <col min="5638" max="5638" width="73.85546875" style="2" bestFit="1" customWidth="1"/>
    <col min="5639" max="5639" width="10.7109375" style="2" customWidth="1"/>
    <col min="5640" max="5890" width="11.42578125" style="2"/>
    <col min="5891" max="5891" width="7.42578125" style="2" customWidth="1"/>
    <col min="5892" max="5893" width="10.7109375" style="2" customWidth="1"/>
    <col min="5894" max="5894" width="73.85546875" style="2" bestFit="1" customWidth="1"/>
    <col min="5895" max="5895" width="10.7109375" style="2" customWidth="1"/>
    <col min="5896" max="6146" width="11.42578125" style="2"/>
    <col min="6147" max="6147" width="7.42578125" style="2" customWidth="1"/>
    <col min="6148" max="6149" width="10.7109375" style="2" customWidth="1"/>
    <col min="6150" max="6150" width="73.85546875" style="2" bestFit="1" customWidth="1"/>
    <col min="6151" max="6151" width="10.7109375" style="2" customWidth="1"/>
    <col min="6152" max="6402" width="11.42578125" style="2"/>
    <col min="6403" max="6403" width="7.42578125" style="2" customWidth="1"/>
    <col min="6404" max="6405" width="10.7109375" style="2" customWidth="1"/>
    <col min="6406" max="6406" width="73.85546875" style="2" bestFit="1" customWidth="1"/>
    <col min="6407" max="6407" width="10.7109375" style="2" customWidth="1"/>
    <col min="6408" max="6658" width="11.42578125" style="2"/>
    <col min="6659" max="6659" width="7.42578125" style="2" customWidth="1"/>
    <col min="6660" max="6661" width="10.7109375" style="2" customWidth="1"/>
    <col min="6662" max="6662" width="73.85546875" style="2" bestFit="1" customWidth="1"/>
    <col min="6663" max="6663" width="10.7109375" style="2" customWidth="1"/>
    <col min="6664" max="6914" width="11.42578125" style="2"/>
    <col min="6915" max="6915" width="7.42578125" style="2" customWidth="1"/>
    <col min="6916" max="6917" width="10.7109375" style="2" customWidth="1"/>
    <col min="6918" max="6918" width="73.85546875" style="2" bestFit="1" customWidth="1"/>
    <col min="6919" max="6919" width="10.7109375" style="2" customWidth="1"/>
    <col min="6920" max="7170" width="11.42578125" style="2"/>
    <col min="7171" max="7171" width="7.42578125" style="2" customWidth="1"/>
    <col min="7172" max="7173" width="10.7109375" style="2" customWidth="1"/>
    <col min="7174" max="7174" width="73.85546875" style="2" bestFit="1" customWidth="1"/>
    <col min="7175" max="7175" width="10.7109375" style="2" customWidth="1"/>
    <col min="7176" max="7426" width="11.42578125" style="2"/>
    <col min="7427" max="7427" width="7.42578125" style="2" customWidth="1"/>
    <col min="7428" max="7429" width="10.7109375" style="2" customWidth="1"/>
    <col min="7430" max="7430" width="73.85546875" style="2" bestFit="1" customWidth="1"/>
    <col min="7431" max="7431" width="10.7109375" style="2" customWidth="1"/>
    <col min="7432" max="7682" width="11.42578125" style="2"/>
    <col min="7683" max="7683" width="7.42578125" style="2" customWidth="1"/>
    <col min="7684" max="7685" width="10.7109375" style="2" customWidth="1"/>
    <col min="7686" max="7686" width="73.85546875" style="2" bestFit="1" customWidth="1"/>
    <col min="7687" max="7687" width="10.7109375" style="2" customWidth="1"/>
    <col min="7688" max="7938" width="11.42578125" style="2"/>
    <col min="7939" max="7939" width="7.42578125" style="2" customWidth="1"/>
    <col min="7940" max="7941" width="10.7109375" style="2" customWidth="1"/>
    <col min="7942" max="7942" width="73.85546875" style="2" bestFit="1" customWidth="1"/>
    <col min="7943" max="7943" width="10.7109375" style="2" customWidth="1"/>
    <col min="7944" max="8194" width="11.42578125" style="2"/>
    <col min="8195" max="8195" width="7.42578125" style="2" customWidth="1"/>
    <col min="8196" max="8197" width="10.7109375" style="2" customWidth="1"/>
    <col min="8198" max="8198" width="73.85546875" style="2" bestFit="1" customWidth="1"/>
    <col min="8199" max="8199" width="10.7109375" style="2" customWidth="1"/>
    <col min="8200" max="8450" width="11.42578125" style="2"/>
    <col min="8451" max="8451" width="7.42578125" style="2" customWidth="1"/>
    <col min="8452" max="8453" width="10.7109375" style="2" customWidth="1"/>
    <col min="8454" max="8454" width="73.85546875" style="2" bestFit="1" customWidth="1"/>
    <col min="8455" max="8455" width="10.7109375" style="2" customWidth="1"/>
    <col min="8456" max="8706" width="11.42578125" style="2"/>
    <col min="8707" max="8707" width="7.42578125" style="2" customWidth="1"/>
    <col min="8708" max="8709" width="10.7109375" style="2" customWidth="1"/>
    <col min="8710" max="8710" width="73.85546875" style="2" bestFit="1" customWidth="1"/>
    <col min="8711" max="8711" width="10.7109375" style="2" customWidth="1"/>
    <col min="8712" max="8962" width="11.42578125" style="2"/>
    <col min="8963" max="8963" width="7.42578125" style="2" customWidth="1"/>
    <col min="8964" max="8965" width="10.7109375" style="2" customWidth="1"/>
    <col min="8966" max="8966" width="73.85546875" style="2" bestFit="1" customWidth="1"/>
    <col min="8967" max="8967" width="10.7109375" style="2" customWidth="1"/>
    <col min="8968" max="9218" width="11.42578125" style="2"/>
    <col min="9219" max="9219" width="7.42578125" style="2" customWidth="1"/>
    <col min="9220" max="9221" width="10.7109375" style="2" customWidth="1"/>
    <col min="9222" max="9222" width="73.85546875" style="2" bestFit="1" customWidth="1"/>
    <col min="9223" max="9223" width="10.7109375" style="2" customWidth="1"/>
    <col min="9224" max="9474" width="11.42578125" style="2"/>
    <col min="9475" max="9475" width="7.42578125" style="2" customWidth="1"/>
    <col min="9476" max="9477" width="10.7109375" style="2" customWidth="1"/>
    <col min="9478" max="9478" width="73.85546875" style="2" bestFit="1" customWidth="1"/>
    <col min="9479" max="9479" width="10.7109375" style="2" customWidth="1"/>
    <col min="9480" max="9730" width="11.42578125" style="2"/>
    <col min="9731" max="9731" width="7.42578125" style="2" customWidth="1"/>
    <col min="9732" max="9733" width="10.7109375" style="2" customWidth="1"/>
    <col min="9734" max="9734" width="73.85546875" style="2" bestFit="1" customWidth="1"/>
    <col min="9735" max="9735" width="10.7109375" style="2" customWidth="1"/>
    <col min="9736" max="9986" width="11.42578125" style="2"/>
    <col min="9987" max="9987" width="7.42578125" style="2" customWidth="1"/>
    <col min="9988" max="9989" width="10.7109375" style="2" customWidth="1"/>
    <col min="9990" max="9990" width="73.85546875" style="2" bestFit="1" customWidth="1"/>
    <col min="9991" max="9991" width="10.7109375" style="2" customWidth="1"/>
    <col min="9992" max="10242" width="11.42578125" style="2"/>
    <col min="10243" max="10243" width="7.42578125" style="2" customWidth="1"/>
    <col min="10244" max="10245" width="10.7109375" style="2" customWidth="1"/>
    <col min="10246" max="10246" width="73.85546875" style="2" bestFit="1" customWidth="1"/>
    <col min="10247" max="10247" width="10.7109375" style="2" customWidth="1"/>
    <col min="10248" max="10498" width="11.42578125" style="2"/>
    <col min="10499" max="10499" width="7.42578125" style="2" customWidth="1"/>
    <col min="10500" max="10501" width="10.7109375" style="2" customWidth="1"/>
    <col min="10502" max="10502" width="73.85546875" style="2" bestFit="1" customWidth="1"/>
    <col min="10503" max="10503" width="10.7109375" style="2" customWidth="1"/>
    <col min="10504" max="10754" width="11.42578125" style="2"/>
    <col min="10755" max="10755" width="7.42578125" style="2" customWidth="1"/>
    <col min="10756" max="10757" width="10.7109375" style="2" customWidth="1"/>
    <col min="10758" max="10758" width="73.85546875" style="2" bestFit="1" customWidth="1"/>
    <col min="10759" max="10759" width="10.7109375" style="2" customWidth="1"/>
    <col min="10760" max="11010" width="11.42578125" style="2"/>
    <col min="11011" max="11011" width="7.42578125" style="2" customWidth="1"/>
    <col min="11012" max="11013" width="10.7109375" style="2" customWidth="1"/>
    <col min="11014" max="11014" width="73.85546875" style="2" bestFit="1" customWidth="1"/>
    <col min="11015" max="11015" width="10.7109375" style="2" customWidth="1"/>
    <col min="11016" max="11266" width="11.42578125" style="2"/>
    <col min="11267" max="11267" width="7.42578125" style="2" customWidth="1"/>
    <col min="11268" max="11269" width="10.7109375" style="2" customWidth="1"/>
    <col min="11270" max="11270" width="73.85546875" style="2" bestFit="1" customWidth="1"/>
    <col min="11271" max="11271" width="10.7109375" style="2" customWidth="1"/>
    <col min="11272" max="11522" width="11.42578125" style="2"/>
    <col min="11523" max="11523" width="7.42578125" style="2" customWidth="1"/>
    <col min="11524" max="11525" width="10.7109375" style="2" customWidth="1"/>
    <col min="11526" max="11526" width="73.85546875" style="2" bestFit="1" customWidth="1"/>
    <col min="11527" max="11527" width="10.7109375" style="2" customWidth="1"/>
    <col min="11528" max="11778" width="11.42578125" style="2"/>
    <col min="11779" max="11779" width="7.42578125" style="2" customWidth="1"/>
    <col min="11780" max="11781" width="10.7109375" style="2" customWidth="1"/>
    <col min="11782" max="11782" width="73.85546875" style="2" bestFit="1" customWidth="1"/>
    <col min="11783" max="11783" width="10.7109375" style="2" customWidth="1"/>
    <col min="11784" max="12034" width="11.42578125" style="2"/>
    <col min="12035" max="12035" width="7.42578125" style="2" customWidth="1"/>
    <col min="12036" max="12037" width="10.7109375" style="2" customWidth="1"/>
    <col min="12038" max="12038" width="73.85546875" style="2" bestFit="1" customWidth="1"/>
    <col min="12039" max="12039" width="10.7109375" style="2" customWidth="1"/>
    <col min="12040" max="12290" width="11.42578125" style="2"/>
    <col min="12291" max="12291" width="7.42578125" style="2" customWidth="1"/>
    <col min="12292" max="12293" width="10.7109375" style="2" customWidth="1"/>
    <col min="12294" max="12294" width="73.85546875" style="2" bestFit="1" customWidth="1"/>
    <col min="12295" max="12295" width="10.7109375" style="2" customWidth="1"/>
    <col min="12296" max="12546" width="11.42578125" style="2"/>
    <col min="12547" max="12547" width="7.42578125" style="2" customWidth="1"/>
    <col min="12548" max="12549" width="10.7109375" style="2" customWidth="1"/>
    <col min="12550" max="12550" width="73.85546875" style="2" bestFit="1" customWidth="1"/>
    <col min="12551" max="12551" width="10.7109375" style="2" customWidth="1"/>
    <col min="12552" max="12802" width="11.42578125" style="2"/>
    <col min="12803" max="12803" width="7.42578125" style="2" customWidth="1"/>
    <col min="12804" max="12805" width="10.7109375" style="2" customWidth="1"/>
    <col min="12806" max="12806" width="73.85546875" style="2" bestFit="1" customWidth="1"/>
    <col min="12807" max="12807" width="10.7109375" style="2" customWidth="1"/>
    <col min="12808" max="13058" width="11.42578125" style="2"/>
    <col min="13059" max="13059" width="7.42578125" style="2" customWidth="1"/>
    <col min="13060" max="13061" width="10.7109375" style="2" customWidth="1"/>
    <col min="13062" max="13062" width="73.85546875" style="2" bestFit="1" customWidth="1"/>
    <col min="13063" max="13063" width="10.7109375" style="2" customWidth="1"/>
    <col min="13064" max="13314" width="11.42578125" style="2"/>
    <col min="13315" max="13315" width="7.42578125" style="2" customWidth="1"/>
    <col min="13316" max="13317" width="10.7109375" style="2" customWidth="1"/>
    <col min="13318" max="13318" width="73.85546875" style="2" bestFit="1" customWidth="1"/>
    <col min="13319" max="13319" width="10.7109375" style="2" customWidth="1"/>
    <col min="13320" max="13570" width="11.42578125" style="2"/>
    <col min="13571" max="13571" width="7.42578125" style="2" customWidth="1"/>
    <col min="13572" max="13573" width="10.7109375" style="2" customWidth="1"/>
    <col min="13574" max="13574" width="73.85546875" style="2" bestFit="1" customWidth="1"/>
    <col min="13575" max="13575" width="10.7109375" style="2" customWidth="1"/>
    <col min="13576" max="13826" width="11.42578125" style="2"/>
    <col min="13827" max="13827" width="7.42578125" style="2" customWidth="1"/>
    <col min="13828" max="13829" width="10.7109375" style="2" customWidth="1"/>
    <col min="13830" max="13830" width="73.85546875" style="2" bestFit="1" customWidth="1"/>
    <col min="13831" max="13831" width="10.7109375" style="2" customWidth="1"/>
    <col min="13832" max="14082" width="11.42578125" style="2"/>
    <col min="14083" max="14083" width="7.42578125" style="2" customWidth="1"/>
    <col min="14084" max="14085" width="10.7109375" style="2" customWidth="1"/>
    <col min="14086" max="14086" width="73.85546875" style="2" bestFit="1" customWidth="1"/>
    <col min="14087" max="14087" width="10.7109375" style="2" customWidth="1"/>
    <col min="14088" max="14338" width="11.42578125" style="2"/>
    <col min="14339" max="14339" width="7.42578125" style="2" customWidth="1"/>
    <col min="14340" max="14341" width="10.7109375" style="2" customWidth="1"/>
    <col min="14342" max="14342" width="73.85546875" style="2" bestFit="1" customWidth="1"/>
    <col min="14343" max="14343" width="10.7109375" style="2" customWidth="1"/>
    <col min="14344" max="14594" width="11.42578125" style="2"/>
    <col min="14595" max="14595" width="7.42578125" style="2" customWidth="1"/>
    <col min="14596" max="14597" width="10.7109375" style="2" customWidth="1"/>
    <col min="14598" max="14598" width="73.85546875" style="2" bestFit="1" customWidth="1"/>
    <col min="14599" max="14599" width="10.7109375" style="2" customWidth="1"/>
    <col min="14600" max="14850" width="11.42578125" style="2"/>
    <col min="14851" max="14851" width="7.42578125" style="2" customWidth="1"/>
    <col min="14852" max="14853" width="10.7109375" style="2" customWidth="1"/>
    <col min="14854" max="14854" width="73.85546875" style="2" bestFit="1" customWidth="1"/>
    <col min="14855" max="14855" width="10.7109375" style="2" customWidth="1"/>
    <col min="14856" max="15106" width="11.42578125" style="2"/>
    <col min="15107" max="15107" width="7.42578125" style="2" customWidth="1"/>
    <col min="15108" max="15109" width="10.7109375" style="2" customWidth="1"/>
    <col min="15110" max="15110" width="73.85546875" style="2" bestFit="1" customWidth="1"/>
    <col min="15111" max="15111" width="10.7109375" style="2" customWidth="1"/>
    <col min="15112" max="15362" width="11.42578125" style="2"/>
    <col min="15363" max="15363" width="7.42578125" style="2" customWidth="1"/>
    <col min="15364" max="15365" width="10.7109375" style="2" customWidth="1"/>
    <col min="15366" max="15366" width="73.85546875" style="2" bestFit="1" customWidth="1"/>
    <col min="15367" max="15367" width="10.7109375" style="2" customWidth="1"/>
    <col min="15368" max="15618" width="11.42578125" style="2"/>
    <col min="15619" max="15619" width="7.42578125" style="2" customWidth="1"/>
    <col min="15620" max="15621" width="10.7109375" style="2" customWidth="1"/>
    <col min="15622" max="15622" width="73.85546875" style="2" bestFit="1" customWidth="1"/>
    <col min="15623" max="15623" width="10.7109375" style="2" customWidth="1"/>
    <col min="15624" max="15874" width="11.42578125" style="2"/>
    <col min="15875" max="15875" width="7.42578125" style="2" customWidth="1"/>
    <col min="15876" max="15877" width="10.7109375" style="2" customWidth="1"/>
    <col min="15878" max="15878" width="73.85546875" style="2" bestFit="1" customWidth="1"/>
    <col min="15879" max="15879" width="10.7109375" style="2" customWidth="1"/>
    <col min="15880" max="16130" width="11.42578125" style="2"/>
    <col min="16131" max="16131" width="7.42578125" style="2" customWidth="1"/>
    <col min="16132" max="16133" width="10.7109375" style="2" customWidth="1"/>
    <col min="16134" max="16134" width="73.85546875" style="2" bestFit="1" customWidth="1"/>
    <col min="16135" max="16135" width="10.7109375" style="2" customWidth="1"/>
    <col min="16136" max="16384" width="11.42578125" style="2"/>
  </cols>
  <sheetData>
    <row r="6" spans="4:7" ht="30" customHeight="1">
      <c r="D6" s="14" t="s">
        <v>80</v>
      </c>
      <c r="E6" s="14"/>
      <c r="F6" s="14"/>
      <c r="G6" s="14"/>
    </row>
    <row r="7" spans="4:7" ht="15" customHeight="1">
      <c r="D7" s="15"/>
      <c r="E7" s="1"/>
      <c r="F7" s="1"/>
      <c r="G7" s="1"/>
    </row>
    <row r="8" spans="4:7" ht="24.95" customHeight="1">
      <c r="D8" s="15"/>
      <c r="E8" s="24" t="s">
        <v>19</v>
      </c>
      <c r="F8" s="25"/>
      <c r="G8" s="25"/>
    </row>
    <row r="9" spans="4:7" ht="15" customHeight="1">
      <c r="D9" s="15"/>
      <c r="E9" s="1"/>
      <c r="F9" s="1"/>
      <c r="G9" s="1"/>
    </row>
    <row r="10" spans="4:7" ht="20.100000000000001" customHeight="1">
      <c r="D10" s="1"/>
      <c r="E10" s="16" t="s">
        <v>10</v>
      </c>
      <c r="F10" s="6"/>
      <c r="G10" s="6"/>
    </row>
    <row r="11" spans="4:7" ht="20.100000000000001" customHeight="1">
      <c r="D11" s="1"/>
      <c r="E11" s="1"/>
      <c r="F11" s="17"/>
      <c r="G11" s="1"/>
    </row>
    <row r="12" spans="4:7" ht="20.100000000000001" customHeight="1">
      <c r="D12" s="1"/>
      <c r="E12" s="1"/>
      <c r="F12" s="18" t="s">
        <v>22</v>
      </c>
      <c r="G12" s="1"/>
    </row>
    <row r="13" spans="4:7" ht="20.100000000000001" customHeight="1">
      <c r="D13" s="1"/>
      <c r="E13" s="1"/>
      <c r="F13" s="18" t="s">
        <v>21</v>
      </c>
      <c r="G13" s="1"/>
    </row>
    <row r="14" spans="4:7" ht="20.100000000000001" customHeight="1">
      <c r="D14" s="1"/>
      <c r="E14" s="1"/>
      <c r="F14" s="17"/>
      <c r="G14" s="1"/>
    </row>
    <row r="15" spans="4:7" ht="20.100000000000001" customHeight="1">
      <c r="D15" s="15"/>
      <c r="E15" s="24" t="str">
        <f>actualizaciones!A2</f>
        <v xml:space="preserve">acumulado julio 2010 </v>
      </c>
      <c r="F15" s="25"/>
      <c r="G15" s="25"/>
    </row>
    <row r="16" spans="4:7" ht="20.100000000000001" customHeight="1">
      <c r="D16" s="15"/>
      <c r="E16" s="1"/>
      <c r="F16" s="1"/>
      <c r="G16" s="1"/>
    </row>
    <row r="17" spans="4:14" ht="20.100000000000001" customHeight="1">
      <c r="D17" s="1"/>
      <c r="E17" s="16" t="s">
        <v>10</v>
      </c>
      <c r="F17" s="6"/>
      <c r="G17" s="6"/>
    </row>
    <row r="18" spans="4:14" ht="20.100000000000001" customHeight="1">
      <c r="D18" s="1"/>
      <c r="E18" s="1"/>
      <c r="F18" s="17"/>
      <c r="G18" s="1"/>
    </row>
    <row r="19" spans="4:14" ht="20.100000000000001" customHeight="1">
      <c r="D19" s="1"/>
      <c r="E19" s="1"/>
      <c r="F19" s="18" t="s">
        <v>81</v>
      </c>
      <c r="G19" s="1"/>
    </row>
    <row r="20" spans="4:14" ht="20.100000000000001" customHeight="1">
      <c r="D20" s="1"/>
      <c r="E20" s="1"/>
      <c r="F20" s="18" t="s">
        <v>82</v>
      </c>
      <c r="G20" s="1"/>
    </row>
    <row r="21" spans="4:14" ht="20.100000000000001" customHeight="1">
      <c r="D21" s="1"/>
      <c r="E21" s="1"/>
      <c r="F21" s="18" t="s">
        <v>83</v>
      </c>
      <c r="G21" s="1"/>
    </row>
    <row r="22" spans="4:14" ht="15" customHeight="1">
      <c r="D22" s="1"/>
      <c r="E22" s="1"/>
      <c r="F22" s="17"/>
      <c r="G22" s="1"/>
    </row>
    <row r="23" spans="4:14" ht="15" customHeight="1">
      <c r="D23" s="1"/>
      <c r="E23" s="16" t="s">
        <v>17</v>
      </c>
      <c r="F23" s="6"/>
      <c r="G23" s="6"/>
    </row>
    <row r="24" spans="4:14" ht="20.100000000000001" customHeight="1">
      <c r="D24" s="1"/>
      <c r="E24" s="1"/>
      <c r="F24" s="17"/>
      <c r="G24" s="1"/>
    </row>
    <row r="25" spans="4:14" ht="20.100000000000001" customHeight="1">
      <c r="D25" s="1"/>
      <c r="E25" s="1"/>
      <c r="F25" s="18" t="s">
        <v>84</v>
      </c>
      <c r="G25" s="1"/>
    </row>
    <row r="26" spans="4:14" ht="15" customHeight="1">
      <c r="D26" s="1"/>
      <c r="E26" s="20"/>
      <c r="F26" s="19" t="s">
        <v>82</v>
      </c>
      <c r="G26" s="1"/>
    </row>
    <row r="27" spans="4:14" ht="15" customHeight="1">
      <c r="D27" s="1"/>
      <c r="E27" s="20"/>
      <c r="F27" s="20"/>
      <c r="G27" s="1"/>
    </row>
    <row r="28" spans="4:14" ht="15" customHeight="1"/>
    <row r="29" spans="4:14" ht="15" customHeight="1">
      <c r="D29" s="11" t="s">
        <v>8</v>
      </c>
      <c r="E29" s="11"/>
      <c r="F29" s="11"/>
      <c r="G29" s="11"/>
      <c r="H29" s="12"/>
      <c r="I29" s="12"/>
      <c r="J29" s="12"/>
      <c r="K29" s="12"/>
      <c r="L29" s="12"/>
      <c r="M29" s="12"/>
      <c r="N29" s="12"/>
    </row>
    <row r="30" spans="4:14" ht="15" customHeight="1">
      <c r="D30" s="12"/>
      <c r="E30" s="12"/>
      <c r="F30" s="12"/>
      <c r="G30" s="12"/>
    </row>
    <row r="31" spans="4:14" ht="20.100000000000001" customHeight="1"/>
    <row r="32" spans="4:14" ht="15" customHeight="1"/>
    <row r="33" spans="4:6" ht="15" customHeight="1">
      <c r="E33" s="22"/>
      <c r="F33" s="23"/>
    </row>
    <row r="34" spans="4:6" ht="15" customHeight="1"/>
    <row r="35" spans="4:6" ht="15" customHeight="1">
      <c r="D35" s="21"/>
    </row>
    <row r="36" spans="4:6" ht="15" customHeight="1"/>
    <row r="37" spans="4:6" ht="15" customHeight="1"/>
    <row r="38" spans="4:6" ht="15" customHeight="1"/>
    <row r="39" spans="4:6" ht="15" customHeight="1"/>
    <row r="40" spans="4:6" ht="15" customHeight="1">
      <c r="D40" s="21"/>
    </row>
    <row r="41" spans="4:6" ht="15" customHeight="1"/>
    <row r="42" spans="4:6" ht="15" customHeight="1"/>
    <row r="43" spans="4:6" ht="15" customHeight="1"/>
    <row r="44" spans="4:6" ht="15" customHeight="1"/>
    <row r="45" spans="4:6" ht="15" customHeight="1"/>
    <row r="46" spans="4:6" ht="15" customHeight="1"/>
    <row r="47" spans="4:6" ht="15" customHeight="1"/>
    <row r="48" spans="4:6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</sheetData>
  <mergeCells count="2">
    <mergeCell ref="D6:G6"/>
    <mergeCell ref="D29:G29"/>
  </mergeCells>
  <hyperlinks>
    <hyperlink ref="F13" location="'variación x zonas tipo '!A1" tooltip="Variación interanual" display="Variación interanual"/>
    <hyperlink ref="F12" location="'Tablas turistas zona y tip.'!A1" tooltip="Evolución anual" display="Evolución anual"/>
    <hyperlink ref="F26" location="'grafica zona mensual'!A1" tooltip="Evolución anual" display="Evolución mensual por zonas"/>
    <hyperlink ref="F20" location="'tablas Zonas mensual '!A1" tooltip="Evolución mensual " display="Evolución mensual "/>
    <hyperlink ref="F19" location="'Alojados zona tipología'!A1" tooltip="Zonas y tipología de establecimiento" display="Zonas y tipología de establecimiento"/>
    <hyperlink ref="F25" location="'Gráfico alojados zona y tipolog'!A1" tooltip="Distribución por zona y tipología" display="Distribución por zona y tipología"/>
    <hyperlink ref="F21" location="'Tablas Evo. mens. zonas y TIPO'!A1" tooltip="Evolución mensual por zonas tipología" display="Evolución mensual por zonas tipologí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100.xml><?xml version="1.0" encoding="utf-8"?>
<worksheet xmlns="http://schemas.openxmlformats.org/spreadsheetml/2006/main" xmlns:r="http://schemas.openxmlformats.org/officeDocument/2006/relationships">
  <sheetPr codeName="Hoja66">
    <tabColor rgb="FF000099"/>
    <pageSetUpPr autoPageBreaks="0" fitToPage="1"/>
  </sheetPr>
  <dimension ref="B27:L28"/>
  <sheetViews>
    <sheetView showGridLines="0" showRowColHeaders="0" showOutlineSymbols="0" zoomScaleNormal="100" workbookViewId="0">
      <selection activeCell="B25" sqref="B25"/>
    </sheetView>
  </sheetViews>
  <sheetFormatPr baseColWidth="10" defaultRowHeight="12.75"/>
  <cols>
    <col min="1" max="1" width="11.42578125" style="2"/>
    <col min="2" max="2" width="5.7109375" style="2" customWidth="1"/>
    <col min="3" max="3" width="12.7109375" style="2" customWidth="1"/>
    <col min="4" max="257" width="11.42578125" style="2"/>
    <col min="258" max="258" width="5.7109375" style="2" customWidth="1"/>
    <col min="259" max="259" width="12.7109375" style="2" customWidth="1"/>
    <col min="260" max="513" width="11.42578125" style="2"/>
    <col min="514" max="514" width="5.7109375" style="2" customWidth="1"/>
    <col min="515" max="515" width="12.7109375" style="2" customWidth="1"/>
    <col min="516" max="769" width="11.42578125" style="2"/>
    <col min="770" max="770" width="5.7109375" style="2" customWidth="1"/>
    <col min="771" max="771" width="12.7109375" style="2" customWidth="1"/>
    <col min="772" max="1025" width="11.42578125" style="2"/>
    <col min="1026" max="1026" width="5.7109375" style="2" customWidth="1"/>
    <col min="1027" max="1027" width="12.7109375" style="2" customWidth="1"/>
    <col min="1028" max="1281" width="11.42578125" style="2"/>
    <col min="1282" max="1282" width="5.7109375" style="2" customWidth="1"/>
    <col min="1283" max="1283" width="12.7109375" style="2" customWidth="1"/>
    <col min="1284" max="1537" width="11.42578125" style="2"/>
    <col min="1538" max="1538" width="5.7109375" style="2" customWidth="1"/>
    <col min="1539" max="1539" width="12.7109375" style="2" customWidth="1"/>
    <col min="1540" max="1793" width="11.42578125" style="2"/>
    <col min="1794" max="1794" width="5.7109375" style="2" customWidth="1"/>
    <col min="1795" max="1795" width="12.7109375" style="2" customWidth="1"/>
    <col min="1796" max="2049" width="11.42578125" style="2"/>
    <col min="2050" max="2050" width="5.7109375" style="2" customWidth="1"/>
    <col min="2051" max="2051" width="12.7109375" style="2" customWidth="1"/>
    <col min="2052" max="2305" width="11.42578125" style="2"/>
    <col min="2306" max="2306" width="5.7109375" style="2" customWidth="1"/>
    <col min="2307" max="2307" width="12.7109375" style="2" customWidth="1"/>
    <col min="2308" max="2561" width="11.42578125" style="2"/>
    <col min="2562" max="2562" width="5.7109375" style="2" customWidth="1"/>
    <col min="2563" max="2563" width="12.7109375" style="2" customWidth="1"/>
    <col min="2564" max="2817" width="11.42578125" style="2"/>
    <col min="2818" max="2818" width="5.7109375" style="2" customWidth="1"/>
    <col min="2819" max="2819" width="12.7109375" style="2" customWidth="1"/>
    <col min="2820" max="3073" width="11.42578125" style="2"/>
    <col min="3074" max="3074" width="5.7109375" style="2" customWidth="1"/>
    <col min="3075" max="3075" width="12.7109375" style="2" customWidth="1"/>
    <col min="3076" max="3329" width="11.42578125" style="2"/>
    <col min="3330" max="3330" width="5.7109375" style="2" customWidth="1"/>
    <col min="3331" max="3331" width="12.7109375" style="2" customWidth="1"/>
    <col min="3332" max="3585" width="11.42578125" style="2"/>
    <col min="3586" max="3586" width="5.7109375" style="2" customWidth="1"/>
    <col min="3587" max="3587" width="12.7109375" style="2" customWidth="1"/>
    <col min="3588" max="3841" width="11.42578125" style="2"/>
    <col min="3842" max="3842" width="5.7109375" style="2" customWidth="1"/>
    <col min="3843" max="3843" width="12.7109375" style="2" customWidth="1"/>
    <col min="3844" max="4097" width="11.42578125" style="2"/>
    <col min="4098" max="4098" width="5.7109375" style="2" customWidth="1"/>
    <col min="4099" max="4099" width="12.7109375" style="2" customWidth="1"/>
    <col min="4100" max="4353" width="11.42578125" style="2"/>
    <col min="4354" max="4354" width="5.7109375" style="2" customWidth="1"/>
    <col min="4355" max="4355" width="12.7109375" style="2" customWidth="1"/>
    <col min="4356" max="4609" width="11.42578125" style="2"/>
    <col min="4610" max="4610" width="5.7109375" style="2" customWidth="1"/>
    <col min="4611" max="4611" width="12.7109375" style="2" customWidth="1"/>
    <col min="4612" max="4865" width="11.42578125" style="2"/>
    <col min="4866" max="4866" width="5.7109375" style="2" customWidth="1"/>
    <col min="4867" max="4867" width="12.7109375" style="2" customWidth="1"/>
    <col min="4868" max="5121" width="11.42578125" style="2"/>
    <col min="5122" max="5122" width="5.7109375" style="2" customWidth="1"/>
    <col min="5123" max="5123" width="12.7109375" style="2" customWidth="1"/>
    <col min="5124" max="5377" width="11.42578125" style="2"/>
    <col min="5378" max="5378" width="5.7109375" style="2" customWidth="1"/>
    <col min="5379" max="5379" width="12.7109375" style="2" customWidth="1"/>
    <col min="5380" max="5633" width="11.42578125" style="2"/>
    <col min="5634" max="5634" width="5.7109375" style="2" customWidth="1"/>
    <col min="5635" max="5635" width="12.7109375" style="2" customWidth="1"/>
    <col min="5636" max="5889" width="11.42578125" style="2"/>
    <col min="5890" max="5890" width="5.7109375" style="2" customWidth="1"/>
    <col min="5891" max="5891" width="12.7109375" style="2" customWidth="1"/>
    <col min="5892" max="6145" width="11.42578125" style="2"/>
    <col min="6146" max="6146" width="5.7109375" style="2" customWidth="1"/>
    <col min="6147" max="6147" width="12.7109375" style="2" customWidth="1"/>
    <col min="6148" max="6401" width="11.42578125" style="2"/>
    <col min="6402" max="6402" width="5.7109375" style="2" customWidth="1"/>
    <col min="6403" max="6403" width="12.7109375" style="2" customWidth="1"/>
    <col min="6404" max="6657" width="11.42578125" style="2"/>
    <col min="6658" max="6658" width="5.7109375" style="2" customWidth="1"/>
    <col min="6659" max="6659" width="12.7109375" style="2" customWidth="1"/>
    <col min="6660" max="6913" width="11.42578125" style="2"/>
    <col min="6914" max="6914" width="5.7109375" style="2" customWidth="1"/>
    <col min="6915" max="6915" width="12.7109375" style="2" customWidth="1"/>
    <col min="6916" max="7169" width="11.42578125" style="2"/>
    <col min="7170" max="7170" width="5.7109375" style="2" customWidth="1"/>
    <col min="7171" max="7171" width="12.7109375" style="2" customWidth="1"/>
    <col min="7172" max="7425" width="11.42578125" style="2"/>
    <col min="7426" max="7426" width="5.7109375" style="2" customWidth="1"/>
    <col min="7427" max="7427" width="12.7109375" style="2" customWidth="1"/>
    <col min="7428" max="7681" width="11.42578125" style="2"/>
    <col min="7682" max="7682" width="5.7109375" style="2" customWidth="1"/>
    <col min="7683" max="7683" width="12.7109375" style="2" customWidth="1"/>
    <col min="7684" max="7937" width="11.42578125" style="2"/>
    <col min="7938" max="7938" width="5.7109375" style="2" customWidth="1"/>
    <col min="7939" max="7939" width="12.7109375" style="2" customWidth="1"/>
    <col min="7940" max="8193" width="11.42578125" style="2"/>
    <col min="8194" max="8194" width="5.7109375" style="2" customWidth="1"/>
    <col min="8195" max="8195" width="12.7109375" style="2" customWidth="1"/>
    <col min="8196" max="8449" width="11.42578125" style="2"/>
    <col min="8450" max="8450" width="5.7109375" style="2" customWidth="1"/>
    <col min="8451" max="8451" width="12.7109375" style="2" customWidth="1"/>
    <col min="8452" max="8705" width="11.42578125" style="2"/>
    <col min="8706" max="8706" width="5.7109375" style="2" customWidth="1"/>
    <col min="8707" max="8707" width="12.7109375" style="2" customWidth="1"/>
    <col min="8708" max="8961" width="11.42578125" style="2"/>
    <col min="8962" max="8962" width="5.7109375" style="2" customWidth="1"/>
    <col min="8963" max="8963" width="12.7109375" style="2" customWidth="1"/>
    <col min="8964" max="9217" width="11.42578125" style="2"/>
    <col min="9218" max="9218" width="5.7109375" style="2" customWidth="1"/>
    <col min="9219" max="9219" width="12.7109375" style="2" customWidth="1"/>
    <col min="9220" max="9473" width="11.42578125" style="2"/>
    <col min="9474" max="9474" width="5.7109375" style="2" customWidth="1"/>
    <col min="9475" max="9475" width="12.7109375" style="2" customWidth="1"/>
    <col min="9476" max="9729" width="11.42578125" style="2"/>
    <col min="9730" max="9730" width="5.7109375" style="2" customWidth="1"/>
    <col min="9731" max="9731" width="12.7109375" style="2" customWidth="1"/>
    <col min="9732" max="9985" width="11.42578125" style="2"/>
    <col min="9986" max="9986" width="5.7109375" style="2" customWidth="1"/>
    <col min="9987" max="9987" width="12.7109375" style="2" customWidth="1"/>
    <col min="9988" max="10241" width="11.42578125" style="2"/>
    <col min="10242" max="10242" width="5.7109375" style="2" customWidth="1"/>
    <col min="10243" max="10243" width="12.7109375" style="2" customWidth="1"/>
    <col min="10244" max="10497" width="11.42578125" style="2"/>
    <col min="10498" max="10498" width="5.7109375" style="2" customWidth="1"/>
    <col min="10499" max="10499" width="12.7109375" style="2" customWidth="1"/>
    <col min="10500" max="10753" width="11.42578125" style="2"/>
    <col min="10754" max="10754" width="5.7109375" style="2" customWidth="1"/>
    <col min="10755" max="10755" width="12.7109375" style="2" customWidth="1"/>
    <col min="10756" max="11009" width="11.42578125" style="2"/>
    <col min="11010" max="11010" width="5.7109375" style="2" customWidth="1"/>
    <col min="11011" max="11011" width="12.7109375" style="2" customWidth="1"/>
    <col min="11012" max="11265" width="11.42578125" style="2"/>
    <col min="11266" max="11266" width="5.7109375" style="2" customWidth="1"/>
    <col min="11267" max="11267" width="12.7109375" style="2" customWidth="1"/>
    <col min="11268" max="11521" width="11.42578125" style="2"/>
    <col min="11522" max="11522" width="5.7109375" style="2" customWidth="1"/>
    <col min="11523" max="11523" width="12.7109375" style="2" customWidth="1"/>
    <col min="11524" max="11777" width="11.42578125" style="2"/>
    <col min="11778" max="11778" width="5.7109375" style="2" customWidth="1"/>
    <col min="11779" max="11779" width="12.7109375" style="2" customWidth="1"/>
    <col min="11780" max="12033" width="11.42578125" style="2"/>
    <col min="12034" max="12034" width="5.7109375" style="2" customWidth="1"/>
    <col min="12035" max="12035" width="12.7109375" style="2" customWidth="1"/>
    <col min="12036" max="12289" width="11.42578125" style="2"/>
    <col min="12290" max="12290" width="5.7109375" style="2" customWidth="1"/>
    <col min="12291" max="12291" width="12.7109375" style="2" customWidth="1"/>
    <col min="12292" max="12545" width="11.42578125" style="2"/>
    <col min="12546" max="12546" width="5.7109375" style="2" customWidth="1"/>
    <col min="12547" max="12547" width="12.7109375" style="2" customWidth="1"/>
    <col min="12548" max="12801" width="11.42578125" style="2"/>
    <col min="12802" max="12802" width="5.7109375" style="2" customWidth="1"/>
    <col min="12803" max="12803" width="12.7109375" style="2" customWidth="1"/>
    <col min="12804" max="13057" width="11.42578125" style="2"/>
    <col min="13058" max="13058" width="5.7109375" style="2" customWidth="1"/>
    <col min="13059" max="13059" width="12.7109375" style="2" customWidth="1"/>
    <col min="13060" max="13313" width="11.42578125" style="2"/>
    <col min="13314" max="13314" width="5.7109375" style="2" customWidth="1"/>
    <col min="13315" max="13315" width="12.7109375" style="2" customWidth="1"/>
    <col min="13316" max="13569" width="11.42578125" style="2"/>
    <col min="13570" max="13570" width="5.7109375" style="2" customWidth="1"/>
    <col min="13571" max="13571" width="12.7109375" style="2" customWidth="1"/>
    <col min="13572" max="13825" width="11.42578125" style="2"/>
    <col min="13826" max="13826" width="5.7109375" style="2" customWidth="1"/>
    <col min="13827" max="13827" width="12.7109375" style="2" customWidth="1"/>
    <col min="13828" max="14081" width="11.42578125" style="2"/>
    <col min="14082" max="14082" width="5.7109375" style="2" customWidth="1"/>
    <col min="14083" max="14083" width="12.7109375" style="2" customWidth="1"/>
    <col min="14084" max="14337" width="11.42578125" style="2"/>
    <col min="14338" max="14338" width="5.7109375" style="2" customWidth="1"/>
    <col min="14339" max="14339" width="12.7109375" style="2" customWidth="1"/>
    <col min="14340" max="14593" width="11.42578125" style="2"/>
    <col min="14594" max="14594" width="5.7109375" style="2" customWidth="1"/>
    <col min="14595" max="14595" width="12.7109375" style="2" customWidth="1"/>
    <col min="14596" max="14849" width="11.42578125" style="2"/>
    <col min="14850" max="14850" width="5.7109375" style="2" customWidth="1"/>
    <col min="14851" max="14851" width="12.7109375" style="2" customWidth="1"/>
    <col min="14852" max="15105" width="11.42578125" style="2"/>
    <col min="15106" max="15106" width="5.7109375" style="2" customWidth="1"/>
    <col min="15107" max="15107" width="12.7109375" style="2" customWidth="1"/>
    <col min="15108" max="15361" width="11.42578125" style="2"/>
    <col min="15362" max="15362" width="5.7109375" style="2" customWidth="1"/>
    <col min="15363" max="15363" width="12.7109375" style="2" customWidth="1"/>
    <col min="15364" max="15617" width="11.42578125" style="2"/>
    <col min="15618" max="15618" width="5.7109375" style="2" customWidth="1"/>
    <col min="15619" max="15619" width="12.7109375" style="2" customWidth="1"/>
    <col min="15620" max="15873" width="11.42578125" style="2"/>
    <col min="15874" max="15874" width="5.7109375" style="2" customWidth="1"/>
    <col min="15875" max="15875" width="12.7109375" style="2" customWidth="1"/>
    <col min="15876" max="16129" width="11.42578125" style="2"/>
    <col min="16130" max="16130" width="5.7109375" style="2" customWidth="1"/>
    <col min="16131" max="16131" width="12.7109375" style="2" customWidth="1"/>
    <col min="16132" max="16384" width="11.42578125" style="2"/>
  </cols>
  <sheetData>
    <row r="27" spans="2:12" ht="15" customHeight="1" thickBot="1"/>
    <row r="28" spans="2:12" ht="30" customHeight="1" thickBot="1">
      <c r="B28" s="12"/>
      <c r="C28" s="12"/>
      <c r="D28" s="12"/>
      <c r="E28" s="12"/>
      <c r="F28" s="12"/>
      <c r="G28" s="12"/>
      <c r="H28" s="12"/>
      <c r="I28" s="12"/>
      <c r="J28" s="60" t="s">
        <v>51</v>
      </c>
      <c r="K28" s="12"/>
      <c r="L28" s="12"/>
    </row>
  </sheetData>
  <hyperlinks>
    <hyperlink ref="J28" location="'Plazas Autorizadas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101.xml><?xml version="1.0" encoding="utf-8"?>
<worksheet xmlns="http://schemas.openxmlformats.org/spreadsheetml/2006/main" xmlns:r="http://schemas.openxmlformats.org/officeDocument/2006/relationships">
  <sheetPr codeName="Hoja41">
    <tabColor rgb="FF000099"/>
    <pageSetUpPr autoPageBreaks="0" fitToPage="1"/>
  </sheetPr>
  <dimension ref="C5:R41"/>
  <sheetViews>
    <sheetView showGridLines="0" showRowColHeaders="0" showOutlineSymbols="0" zoomScaleNormal="100" workbookViewId="0">
      <selection activeCell="B25" sqref="B25"/>
    </sheetView>
  </sheetViews>
  <sheetFormatPr baseColWidth="10" defaultColWidth="16.5703125" defaultRowHeight="12.75"/>
  <cols>
    <col min="1" max="1" width="3.7109375" style="535" customWidth="1"/>
    <col min="2" max="2" width="10.42578125" style="535" customWidth="1"/>
    <col min="3" max="3" width="23.140625" style="535" customWidth="1"/>
    <col min="4" max="4" width="11" style="535" customWidth="1"/>
    <col min="5" max="5" width="8.85546875" style="535" customWidth="1"/>
    <col min="6" max="6" width="10.42578125" style="535" customWidth="1"/>
    <col min="7" max="7" width="8.5703125" style="535" customWidth="1"/>
    <col min="8" max="8" width="11.5703125" style="535" customWidth="1"/>
    <col min="9" max="9" width="9.7109375" style="535" customWidth="1"/>
    <col min="10" max="10" width="11.5703125" style="535" customWidth="1"/>
    <col min="11" max="11" width="10" style="535" customWidth="1"/>
    <col min="12" max="12" width="10.7109375" style="535" customWidth="1"/>
    <col min="13" max="13" width="10.140625" style="535" customWidth="1"/>
    <col min="14" max="14" width="16.5703125" style="535" customWidth="1"/>
    <col min="15" max="15" width="11.140625" style="535" customWidth="1"/>
    <col min="16" max="16" width="9.28515625" style="535" customWidth="1"/>
    <col min="17" max="256" width="16.5703125" style="535"/>
    <col min="257" max="257" width="3.7109375" style="535" customWidth="1"/>
    <col min="258" max="258" width="10.42578125" style="535" customWidth="1"/>
    <col min="259" max="259" width="23.140625" style="535" customWidth="1"/>
    <col min="260" max="260" width="11" style="535" customWidth="1"/>
    <col min="261" max="261" width="8.85546875" style="535" customWidth="1"/>
    <col min="262" max="262" width="10.42578125" style="535" customWidth="1"/>
    <col min="263" max="263" width="8.5703125" style="535" customWidth="1"/>
    <col min="264" max="264" width="9.5703125" style="535" customWidth="1"/>
    <col min="265" max="265" width="9.7109375" style="535" customWidth="1"/>
    <col min="266" max="266" width="9.85546875" style="535" customWidth="1"/>
    <col min="267" max="267" width="10" style="535" customWidth="1"/>
    <col min="268" max="268" width="10.7109375" style="535" customWidth="1"/>
    <col min="269" max="269" width="10.140625" style="535" customWidth="1"/>
    <col min="270" max="270" width="16.5703125" style="535" customWidth="1"/>
    <col min="271" max="271" width="11.140625" style="535" customWidth="1"/>
    <col min="272" max="272" width="9.28515625" style="535" customWidth="1"/>
    <col min="273" max="512" width="16.5703125" style="535"/>
    <col min="513" max="513" width="3.7109375" style="535" customWidth="1"/>
    <col min="514" max="514" width="10.42578125" style="535" customWidth="1"/>
    <col min="515" max="515" width="23.140625" style="535" customWidth="1"/>
    <col min="516" max="516" width="11" style="535" customWidth="1"/>
    <col min="517" max="517" width="8.85546875" style="535" customWidth="1"/>
    <col min="518" max="518" width="10.42578125" style="535" customWidth="1"/>
    <col min="519" max="519" width="8.5703125" style="535" customWidth="1"/>
    <col min="520" max="520" width="9.5703125" style="535" customWidth="1"/>
    <col min="521" max="521" width="9.7109375" style="535" customWidth="1"/>
    <col min="522" max="522" width="9.85546875" style="535" customWidth="1"/>
    <col min="523" max="523" width="10" style="535" customWidth="1"/>
    <col min="524" max="524" width="10.7109375" style="535" customWidth="1"/>
    <col min="525" max="525" width="10.140625" style="535" customWidth="1"/>
    <col min="526" max="526" width="16.5703125" style="535" customWidth="1"/>
    <col min="527" max="527" width="11.140625" style="535" customWidth="1"/>
    <col min="528" max="528" width="9.28515625" style="535" customWidth="1"/>
    <col min="529" max="768" width="16.5703125" style="535"/>
    <col min="769" max="769" width="3.7109375" style="535" customWidth="1"/>
    <col min="770" max="770" width="10.42578125" style="535" customWidth="1"/>
    <col min="771" max="771" width="23.140625" style="535" customWidth="1"/>
    <col min="772" max="772" width="11" style="535" customWidth="1"/>
    <col min="773" max="773" width="8.85546875" style="535" customWidth="1"/>
    <col min="774" max="774" width="10.42578125" style="535" customWidth="1"/>
    <col min="775" max="775" width="8.5703125" style="535" customWidth="1"/>
    <col min="776" max="776" width="9.5703125" style="535" customWidth="1"/>
    <col min="777" max="777" width="9.7109375" style="535" customWidth="1"/>
    <col min="778" max="778" width="9.85546875" style="535" customWidth="1"/>
    <col min="779" max="779" width="10" style="535" customWidth="1"/>
    <col min="780" max="780" width="10.7109375" style="535" customWidth="1"/>
    <col min="781" max="781" width="10.140625" style="535" customWidth="1"/>
    <col min="782" max="782" width="16.5703125" style="535" customWidth="1"/>
    <col min="783" max="783" width="11.140625" style="535" customWidth="1"/>
    <col min="784" max="784" width="9.28515625" style="535" customWidth="1"/>
    <col min="785" max="1024" width="16.5703125" style="535"/>
    <col min="1025" max="1025" width="3.7109375" style="535" customWidth="1"/>
    <col min="1026" max="1026" width="10.42578125" style="535" customWidth="1"/>
    <col min="1027" max="1027" width="23.140625" style="535" customWidth="1"/>
    <col min="1028" max="1028" width="11" style="535" customWidth="1"/>
    <col min="1029" max="1029" width="8.85546875" style="535" customWidth="1"/>
    <col min="1030" max="1030" width="10.42578125" style="535" customWidth="1"/>
    <col min="1031" max="1031" width="8.5703125" style="535" customWidth="1"/>
    <col min="1032" max="1032" width="9.5703125" style="535" customWidth="1"/>
    <col min="1033" max="1033" width="9.7109375" style="535" customWidth="1"/>
    <col min="1034" max="1034" width="9.85546875" style="535" customWidth="1"/>
    <col min="1035" max="1035" width="10" style="535" customWidth="1"/>
    <col min="1036" max="1036" width="10.7109375" style="535" customWidth="1"/>
    <col min="1037" max="1037" width="10.140625" style="535" customWidth="1"/>
    <col min="1038" max="1038" width="16.5703125" style="535" customWidth="1"/>
    <col min="1039" max="1039" width="11.140625" style="535" customWidth="1"/>
    <col min="1040" max="1040" width="9.28515625" style="535" customWidth="1"/>
    <col min="1041" max="1280" width="16.5703125" style="535"/>
    <col min="1281" max="1281" width="3.7109375" style="535" customWidth="1"/>
    <col min="1282" max="1282" width="10.42578125" style="535" customWidth="1"/>
    <col min="1283" max="1283" width="23.140625" style="535" customWidth="1"/>
    <col min="1284" max="1284" width="11" style="535" customWidth="1"/>
    <col min="1285" max="1285" width="8.85546875" style="535" customWidth="1"/>
    <col min="1286" max="1286" width="10.42578125" style="535" customWidth="1"/>
    <col min="1287" max="1287" width="8.5703125" style="535" customWidth="1"/>
    <col min="1288" max="1288" width="9.5703125" style="535" customWidth="1"/>
    <col min="1289" max="1289" width="9.7109375" style="535" customWidth="1"/>
    <col min="1290" max="1290" width="9.85546875" style="535" customWidth="1"/>
    <col min="1291" max="1291" width="10" style="535" customWidth="1"/>
    <col min="1292" max="1292" width="10.7109375" style="535" customWidth="1"/>
    <col min="1293" max="1293" width="10.140625" style="535" customWidth="1"/>
    <col min="1294" max="1294" width="16.5703125" style="535" customWidth="1"/>
    <col min="1295" max="1295" width="11.140625" style="535" customWidth="1"/>
    <col min="1296" max="1296" width="9.28515625" style="535" customWidth="1"/>
    <col min="1297" max="1536" width="16.5703125" style="535"/>
    <col min="1537" max="1537" width="3.7109375" style="535" customWidth="1"/>
    <col min="1538" max="1538" width="10.42578125" style="535" customWidth="1"/>
    <col min="1539" max="1539" width="23.140625" style="535" customWidth="1"/>
    <col min="1540" max="1540" width="11" style="535" customWidth="1"/>
    <col min="1541" max="1541" width="8.85546875" style="535" customWidth="1"/>
    <col min="1542" max="1542" width="10.42578125" style="535" customWidth="1"/>
    <col min="1543" max="1543" width="8.5703125" style="535" customWidth="1"/>
    <col min="1544" max="1544" width="9.5703125" style="535" customWidth="1"/>
    <col min="1545" max="1545" width="9.7109375" style="535" customWidth="1"/>
    <col min="1546" max="1546" width="9.85546875" style="535" customWidth="1"/>
    <col min="1547" max="1547" width="10" style="535" customWidth="1"/>
    <col min="1548" max="1548" width="10.7109375" style="535" customWidth="1"/>
    <col min="1549" max="1549" width="10.140625" style="535" customWidth="1"/>
    <col min="1550" max="1550" width="16.5703125" style="535" customWidth="1"/>
    <col min="1551" max="1551" width="11.140625" style="535" customWidth="1"/>
    <col min="1552" max="1552" width="9.28515625" style="535" customWidth="1"/>
    <col min="1553" max="1792" width="16.5703125" style="535"/>
    <col min="1793" max="1793" width="3.7109375" style="535" customWidth="1"/>
    <col min="1794" max="1794" width="10.42578125" style="535" customWidth="1"/>
    <col min="1795" max="1795" width="23.140625" style="535" customWidth="1"/>
    <col min="1796" max="1796" width="11" style="535" customWidth="1"/>
    <col min="1797" max="1797" width="8.85546875" style="535" customWidth="1"/>
    <col min="1798" max="1798" width="10.42578125" style="535" customWidth="1"/>
    <col min="1799" max="1799" width="8.5703125" style="535" customWidth="1"/>
    <col min="1800" max="1800" width="9.5703125" style="535" customWidth="1"/>
    <col min="1801" max="1801" width="9.7109375" style="535" customWidth="1"/>
    <col min="1802" max="1802" width="9.85546875" style="535" customWidth="1"/>
    <col min="1803" max="1803" width="10" style="535" customWidth="1"/>
    <col min="1804" max="1804" width="10.7109375" style="535" customWidth="1"/>
    <col min="1805" max="1805" width="10.140625" style="535" customWidth="1"/>
    <col min="1806" max="1806" width="16.5703125" style="535" customWidth="1"/>
    <col min="1807" max="1807" width="11.140625" style="535" customWidth="1"/>
    <col min="1808" max="1808" width="9.28515625" style="535" customWidth="1"/>
    <col min="1809" max="2048" width="16.5703125" style="535"/>
    <col min="2049" max="2049" width="3.7109375" style="535" customWidth="1"/>
    <col min="2050" max="2050" width="10.42578125" style="535" customWidth="1"/>
    <col min="2051" max="2051" width="23.140625" style="535" customWidth="1"/>
    <col min="2052" max="2052" width="11" style="535" customWidth="1"/>
    <col min="2053" max="2053" width="8.85546875" style="535" customWidth="1"/>
    <col min="2054" max="2054" width="10.42578125" style="535" customWidth="1"/>
    <col min="2055" max="2055" width="8.5703125" style="535" customWidth="1"/>
    <col min="2056" max="2056" width="9.5703125" style="535" customWidth="1"/>
    <col min="2057" max="2057" width="9.7109375" style="535" customWidth="1"/>
    <col min="2058" max="2058" width="9.85546875" style="535" customWidth="1"/>
    <col min="2059" max="2059" width="10" style="535" customWidth="1"/>
    <col min="2060" max="2060" width="10.7109375" style="535" customWidth="1"/>
    <col min="2061" max="2061" width="10.140625" style="535" customWidth="1"/>
    <col min="2062" max="2062" width="16.5703125" style="535" customWidth="1"/>
    <col min="2063" max="2063" width="11.140625" style="535" customWidth="1"/>
    <col min="2064" max="2064" width="9.28515625" style="535" customWidth="1"/>
    <col min="2065" max="2304" width="16.5703125" style="535"/>
    <col min="2305" max="2305" width="3.7109375" style="535" customWidth="1"/>
    <col min="2306" max="2306" width="10.42578125" style="535" customWidth="1"/>
    <col min="2307" max="2307" width="23.140625" style="535" customWidth="1"/>
    <col min="2308" max="2308" width="11" style="535" customWidth="1"/>
    <col min="2309" max="2309" width="8.85546875" style="535" customWidth="1"/>
    <col min="2310" max="2310" width="10.42578125" style="535" customWidth="1"/>
    <col min="2311" max="2311" width="8.5703125" style="535" customWidth="1"/>
    <col min="2312" max="2312" width="9.5703125" style="535" customWidth="1"/>
    <col min="2313" max="2313" width="9.7109375" style="535" customWidth="1"/>
    <col min="2314" max="2314" width="9.85546875" style="535" customWidth="1"/>
    <col min="2315" max="2315" width="10" style="535" customWidth="1"/>
    <col min="2316" max="2316" width="10.7109375" style="535" customWidth="1"/>
    <col min="2317" max="2317" width="10.140625" style="535" customWidth="1"/>
    <col min="2318" max="2318" width="16.5703125" style="535" customWidth="1"/>
    <col min="2319" max="2319" width="11.140625" style="535" customWidth="1"/>
    <col min="2320" max="2320" width="9.28515625" style="535" customWidth="1"/>
    <col min="2321" max="2560" width="16.5703125" style="535"/>
    <col min="2561" max="2561" width="3.7109375" style="535" customWidth="1"/>
    <col min="2562" max="2562" width="10.42578125" style="535" customWidth="1"/>
    <col min="2563" max="2563" width="23.140625" style="535" customWidth="1"/>
    <col min="2564" max="2564" width="11" style="535" customWidth="1"/>
    <col min="2565" max="2565" width="8.85546875" style="535" customWidth="1"/>
    <col min="2566" max="2566" width="10.42578125" style="535" customWidth="1"/>
    <col min="2567" max="2567" width="8.5703125" style="535" customWidth="1"/>
    <col min="2568" max="2568" width="9.5703125" style="535" customWidth="1"/>
    <col min="2569" max="2569" width="9.7109375" style="535" customWidth="1"/>
    <col min="2570" max="2570" width="9.85546875" style="535" customWidth="1"/>
    <col min="2571" max="2571" width="10" style="535" customWidth="1"/>
    <col min="2572" max="2572" width="10.7109375" style="535" customWidth="1"/>
    <col min="2573" max="2573" width="10.140625" style="535" customWidth="1"/>
    <col min="2574" max="2574" width="16.5703125" style="535" customWidth="1"/>
    <col min="2575" max="2575" width="11.140625" style="535" customWidth="1"/>
    <col min="2576" max="2576" width="9.28515625" style="535" customWidth="1"/>
    <col min="2577" max="2816" width="16.5703125" style="535"/>
    <col min="2817" max="2817" width="3.7109375" style="535" customWidth="1"/>
    <col min="2818" max="2818" width="10.42578125" style="535" customWidth="1"/>
    <col min="2819" max="2819" width="23.140625" style="535" customWidth="1"/>
    <col min="2820" max="2820" width="11" style="535" customWidth="1"/>
    <col min="2821" max="2821" width="8.85546875" style="535" customWidth="1"/>
    <col min="2822" max="2822" width="10.42578125" style="535" customWidth="1"/>
    <col min="2823" max="2823" width="8.5703125" style="535" customWidth="1"/>
    <col min="2824" max="2824" width="9.5703125" style="535" customWidth="1"/>
    <col min="2825" max="2825" width="9.7109375" style="535" customWidth="1"/>
    <col min="2826" max="2826" width="9.85546875" style="535" customWidth="1"/>
    <col min="2827" max="2827" width="10" style="535" customWidth="1"/>
    <col min="2828" max="2828" width="10.7109375" style="535" customWidth="1"/>
    <col min="2829" max="2829" width="10.140625" style="535" customWidth="1"/>
    <col min="2830" max="2830" width="16.5703125" style="535" customWidth="1"/>
    <col min="2831" max="2831" width="11.140625" style="535" customWidth="1"/>
    <col min="2832" max="2832" width="9.28515625" style="535" customWidth="1"/>
    <col min="2833" max="3072" width="16.5703125" style="535"/>
    <col min="3073" max="3073" width="3.7109375" style="535" customWidth="1"/>
    <col min="3074" max="3074" width="10.42578125" style="535" customWidth="1"/>
    <col min="3075" max="3075" width="23.140625" style="535" customWidth="1"/>
    <col min="3076" max="3076" width="11" style="535" customWidth="1"/>
    <col min="3077" max="3077" width="8.85546875" style="535" customWidth="1"/>
    <col min="3078" max="3078" width="10.42578125" style="535" customWidth="1"/>
    <col min="3079" max="3079" width="8.5703125" style="535" customWidth="1"/>
    <col min="3080" max="3080" width="9.5703125" style="535" customWidth="1"/>
    <col min="3081" max="3081" width="9.7109375" style="535" customWidth="1"/>
    <col min="3082" max="3082" width="9.85546875" style="535" customWidth="1"/>
    <col min="3083" max="3083" width="10" style="535" customWidth="1"/>
    <col min="3084" max="3084" width="10.7109375" style="535" customWidth="1"/>
    <col min="3085" max="3085" width="10.140625" style="535" customWidth="1"/>
    <col min="3086" max="3086" width="16.5703125" style="535" customWidth="1"/>
    <col min="3087" max="3087" width="11.140625" style="535" customWidth="1"/>
    <col min="3088" max="3088" width="9.28515625" style="535" customWidth="1"/>
    <col min="3089" max="3328" width="16.5703125" style="535"/>
    <col min="3329" max="3329" width="3.7109375" style="535" customWidth="1"/>
    <col min="3330" max="3330" width="10.42578125" style="535" customWidth="1"/>
    <col min="3331" max="3331" width="23.140625" style="535" customWidth="1"/>
    <col min="3332" max="3332" width="11" style="535" customWidth="1"/>
    <col min="3333" max="3333" width="8.85546875" style="535" customWidth="1"/>
    <col min="3334" max="3334" width="10.42578125" style="535" customWidth="1"/>
    <col min="3335" max="3335" width="8.5703125" style="535" customWidth="1"/>
    <col min="3336" max="3336" width="9.5703125" style="535" customWidth="1"/>
    <col min="3337" max="3337" width="9.7109375" style="535" customWidth="1"/>
    <col min="3338" max="3338" width="9.85546875" style="535" customWidth="1"/>
    <col min="3339" max="3339" width="10" style="535" customWidth="1"/>
    <col min="3340" max="3340" width="10.7109375" style="535" customWidth="1"/>
    <col min="3341" max="3341" width="10.140625" style="535" customWidth="1"/>
    <col min="3342" max="3342" width="16.5703125" style="535" customWidth="1"/>
    <col min="3343" max="3343" width="11.140625" style="535" customWidth="1"/>
    <col min="3344" max="3344" width="9.28515625" style="535" customWidth="1"/>
    <col min="3345" max="3584" width="16.5703125" style="535"/>
    <col min="3585" max="3585" width="3.7109375" style="535" customWidth="1"/>
    <col min="3586" max="3586" width="10.42578125" style="535" customWidth="1"/>
    <col min="3587" max="3587" width="23.140625" style="535" customWidth="1"/>
    <col min="3588" max="3588" width="11" style="535" customWidth="1"/>
    <col min="3589" max="3589" width="8.85546875" style="535" customWidth="1"/>
    <col min="3590" max="3590" width="10.42578125" style="535" customWidth="1"/>
    <col min="3591" max="3591" width="8.5703125" style="535" customWidth="1"/>
    <col min="3592" max="3592" width="9.5703125" style="535" customWidth="1"/>
    <col min="3593" max="3593" width="9.7109375" style="535" customWidth="1"/>
    <col min="3594" max="3594" width="9.85546875" style="535" customWidth="1"/>
    <col min="3595" max="3595" width="10" style="535" customWidth="1"/>
    <col min="3596" max="3596" width="10.7109375" style="535" customWidth="1"/>
    <col min="3597" max="3597" width="10.140625" style="535" customWidth="1"/>
    <col min="3598" max="3598" width="16.5703125" style="535" customWidth="1"/>
    <col min="3599" max="3599" width="11.140625" style="535" customWidth="1"/>
    <col min="3600" max="3600" width="9.28515625" style="535" customWidth="1"/>
    <col min="3601" max="3840" width="16.5703125" style="535"/>
    <col min="3841" max="3841" width="3.7109375" style="535" customWidth="1"/>
    <col min="3842" max="3842" width="10.42578125" style="535" customWidth="1"/>
    <col min="3843" max="3843" width="23.140625" style="535" customWidth="1"/>
    <col min="3844" max="3844" width="11" style="535" customWidth="1"/>
    <col min="3845" max="3845" width="8.85546875" style="535" customWidth="1"/>
    <col min="3846" max="3846" width="10.42578125" style="535" customWidth="1"/>
    <col min="3847" max="3847" width="8.5703125" style="535" customWidth="1"/>
    <col min="3848" max="3848" width="9.5703125" style="535" customWidth="1"/>
    <col min="3849" max="3849" width="9.7109375" style="535" customWidth="1"/>
    <col min="3850" max="3850" width="9.85546875" style="535" customWidth="1"/>
    <col min="3851" max="3851" width="10" style="535" customWidth="1"/>
    <col min="3852" max="3852" width="10.7109375" style="535" customWidth="1"/>
    <col min="3853" max="3853" width="10.140625" style="535" customWidth="1"/>
    <col min="3854" max="3854" width="16.5703125" style="535" customWidth="1"/>
    <col min="3855" max="3855" width="11.140625" style="535" customWidth="1"/>
    <col min="3856" max="3856" width="9.28515625" style="535" customWidth="1"/>
    <col min="3857" max="4096" width="16.5703125" style="535"/>
    <col min="4097" max="4097" width="3.7109375" style="535" customWidth="1"/>
    <col min="4098" max="4098" width="10.42578125" style="535" customWidth="1"/>
    <col min="4099" max="4099" width="23.140625" style="535" customWidth="1"/>
    <col min="4100" max="4100" width="11" style="535" customWidth="1"/>
    <col min="4101" max="4101" width="8.85546875" style="535" customWidth="1"/>
    <col min="4102" max="4102" width="10.42578125" style="535" customWidth="1"/>
    <col min="4103" max="4103" width="8.5703125" style="535" customWidth="1"/>
    <col min="4104" max="4104" width="9.5703125" style="535" customWidth="1"/>
    <col min="4105" max="4105" width="9.7109375" style="535" customWidth="1"/>
    <col min="4106" max="4106" width="9.85546875" style="535" customWidth="1"/>
    <col min="4107" max="4107" width="10" style="535" customWidth="1"/>
    <col min="4108" max="4108" width="10.7109375" style="535" customWidth="1"/>
    <col min="4109" max="4109" width="10.140625" style="535" customWidth="1"/>
    <col min="4110" max="4110" width="16.5703125" style="535" customWidth="1"/>
    <col min="4111" max="4111" width="11.140625" style="535" customWidth="1"/>
    <col min="4112" max="4112" width="9.28515625" style="535" customWidth="1"/>
    <col min="4113" max="4352" width="16.5703125" style="535"/>
    <col min="4353" max="4353" width="3.7109375" style="535" customWidth="1"/>
    <col min="4354" max="4354" width="10.42578125" style="535" customWidth="1"/>
    <col min="4355" max="4355" width="23.140625" style="535" customWidth="1"/>
    <col min="4356" max="4356" width="11" style="535" customWidth="1"/>
    <col min="4357" max="4357" width="8.85546875" style="535" customWidth="1"/>
    <col min="4358" max="4358" width="10.42578125" style="535" customWidth="1"/>
    <col min="4359" max="4359" width="8.5703125" style="535" customWidth="1"/>
    <col min="4360" max="4360" width="9.5703125" style="535" customWidth="1"/>
    <col min="4361" max="4361" width="9.7109375" style="535" customWidth="1"/>
    <col min="4362" max="4362" width="9.85546875" style="535" customWidth="1"/>
    <col min="4363" max="4363" width="10" style="535" customWidth="1"/>
    <col min="4364" max="4364" width="10.7109375" style="535" customWidth="1"/>
    <col min="4365" max="4365" width="10.140625" style="535" customWidth="1"/>
    <col min="4366" max="4366" width="16.5703125" style="535" customWidth="1"/>
    <col min="4367" max="4367" width="11.140625" style="535" customWidth="1"/>
    <col min="4368" max="4368" width="9.28515625" style="535" customWidth="1"/>
    <col min="4369" max="4608" width="16.5703125" style="535"/>
    <col min="4609" max="4609" width="3.7109375" style="535" customWidth="1"/>
    <col min="4610" max="4610" width="10.42578125" style="535" customWidth="1"/>
    <col min="4611" max="4611" width="23.140625" style="535" customWidth="1"/>
    <col min="4612" max="4612" width="11" style="535" customWidth="1"/>
    <col min="4613" max="4613" width="8.85546875" style="535" customWidth="1"/>
    <col min="4614" max="4614" width="10.42578125" style="535" customWidth="1"/>
    <col min="4615" max="4615" width="8.5703125" style="535" customWidth="1"/>
    <col min="4616" max="4616" width="9.5703125" style="535" customWidth="1"/>
    <col min="4617" max="4617" width="9.7109375" style="535" customWidth="1"/>
    <col min="4618" max="4618" width="9.85546875" style="535" customWidth="1"/>
    <col min="4619" max="4619" width="10" style="535" customWidth="1"/>
    <col min="4620" max="4620" width="10.7109375" style="535" customWidth="1"/>
    <col min="4621" max="4621" width="10.140625" style="535" customWidth="1"/>
    <col min="4622" max="4622" width="16.5703125" style="535" customWidth="1"/>
    <col min="4623" max="4623" width="11.140625" style="535" customWidth="1"/>
    <col min="4624" max="4624" width="9.28515625" style="535" customWidth="1"/>
    <col min="4625" max="4864" width="16.5703125" style="535"/>
    <col min="4865" max="4865" width="3.7109375" style="535" customWidth="1"/>
    <col min="4866" max="4866" width="10.42578125" style="535" customWidth="1"/>
    <col min="4867" max="4867" width="23.140625" style="535" customWidth="1"/>
    <col min="4868" max="4868" width="11" style="535" customWidth="1"/>
    <col min="4869" max="4869" width="8.85546875" style="535" customWidth="1"/>
    <col min="4870" max="4870" width="10.42578125" style="535" customWidth="1"/>
    <col min="4871" max="4871" width="8.5703125" style="535" customWidth="1"/>
    <col min="4872" max="4872" width="9.5703125" style="535" customWidth="1"/>
    <col min="4873" max="4873" width="9.7109375" style="535" customWidth="1"/>
    <col min="4874" max="4874" width="9.85546875" style="535" customWidth="1"/>
    <col min="4875" max="4875" width="10" style="535" customWidth="1"/>
    <col min="4876" max="4876" width="10.7109375" style="535" customWidth="1"/>
    <col min="4877" max="4877" width="10.140625" style="535" customWidth="1"/>
    <col min="4878" max="4878" width="16.5703125" style="535" customWidth="1"/>
    <col min="4879" max="4879" width="11.140625" style="535" customWidth="1"/>
    <col min="4880" max="4880" width="9.28515625" style="535" customWidth="1"/>
    <col min="4881" max="5120" width="16.5703125" style="535"/>
    <col min="5121" max="5121" width="3.7109375" style="535" customWidth="1"/>
    <col min="5122" max="5122" width="10.42578125" style="535" customWidth="1"/>
    <col min="5123" max="5123" width="23.140625" style="535" customWidth="1"/>
    <col min="5124" max="5124" width="11" style="535" customWidth="1"/>
    <col min="5125" max="5125" width="8.85546875" style="535" customWidth="1"/>
    <col min="5126" max="5126" width="10.42578125" style="535" customWidth="1"/>
    <col min="5127" max="5127" width="8.5703125" style="535" customWidth="1"/>
    <col min="5128" max="5128" width="9.5703125" style="535" customWidth="1"/>
    <col min="5129" max="5129" width="9.7109375" style="535" customWidth="1"/>
    <col min="5130" max="5130" width="9.85546875" style="535" customWidth="1"/>
    <col min="5131" max="5131" width="10" style="535" customWidth="1"/>
    <col min="5132" max="5132" width="10.7109375" style="535" customWidth="1"/>
    <col min="5133" max="5133" width="10.140625" style="535" customWidth="1"/>
    <col min="5134" max="5134" width="16.5703125" style="535" customWidth="1"/>
    <col min="5135" max="5135" width="11.140625" style="535" customWidth="1"/>
    <col min="5136" max="5136" width="9.28515625" style="535" customWidth="1"/>
    <col min="5137" max="5376" width="16.5703125" style="535"/>
    <col min="5377" max="5377" width="3.7109375" style="535" customWidth="1"/>
    <col min="5378" max="5378" width="10.42578125" style="535" customWidth="1"/>
    <col min="5379" max="5379" width="23.140625" style="535" customWidth="1"/>
    <col min="5380" max="5380" width="11" style="535" customWidth="1"/>
    <col min="5381" max="5381" width="8.85546875" style="535" customWidth="1"/>
    <col min="5382" max="5382" width="10.42578125" style="535" customWidth="1"/>
    <col min="5383" max="5383" width="8.5703125" style="535" customWidth="1"/>
    <col min="5384" max="5384" width="9.5703125" style="535" customWidth="1"/>
    <col min="5385" max="5385" width="9.7109375" style="535" customWidth="1"/>
    <col min="5386" max="5386" width="9.85546875" style="535" customWidth="1"/>
    <col min="5387" max="5387" width="10" style="535" customWidth="1"/>
    <col min="5388" max="5388" width="10.7109375" style="535" customWidth="1"/>
    <col min="5389" max="5389" width="10.140625" style="535" customWidth="1"/>
    <col min="5390" max="5390" width="16.5703125" style="535" customWidth="1"/>
    <col min="5391" max="5391" width="11.140625" style="535" customWidth="1"/>
    <col min="5392" max="5392" width="9.28515625" style="535" customWidth="1"/>
    <col min="5393" max="5632" width="16.5703125" style="535"/>
    <col min="5633" max="5633" width="3.7109375" style="535" customWidth="1"/>
    <col min="5634" max="5634" width="10.42578125" style="535" customWidth="1"/>
    <col min="5635" max="5635" width="23.140625" style="535" customWidth="1"/>
    <col min="5636" max="5636" width="11" style="535" customWidth="1"/>
    <col min="5637" max="5637" width="8.85546875" style="535" customWidth="1"/>
    <col min="5638" max="5638" width="10.42578125" style="535" customWidth="1"/>
    <col min="5639" max="5639" width="8.5703125" style="535" customWidth="1"/>
    <col min="5640" max="5640" width="9.5703125" style="535" customWidth="1"/>
    <col min="5641" max="5641" width="9.7109375" style="535" customWidth="1"/>
    <col min="5642" max="5642" width="9.85546875" style="535" customWidth="1"/>
    <col min="5643" max="5643" width="10" style="535" customWidth="1"/>
    <col min="5644" max="5644" width="10.7109375" style="535" customWidth="1"/>
    <col min="5645" max="5645" width="10.140625" style="535" customWidth="1"/>
    <col min="5646" max="5646" width="16.5703125" style="535" customWidth="1"/>
    <col min="5647" max="5647" width="11.140625" style="535" customWidth="1"/>
    <col min="5648" max="5648" width="9.28515625" style="535" customWidth="1"/>
    <col min="5649" max="5888" width="16.5703125" style="535"/>
    <col min="5889" max="5889" width="3.7109375" style="535" customWidth="1"/>
    <col min="5890" max="5890" width="10.42578125" style="535" customWidth="1"/>
    <col min="5891" max="5891" width="23.140625" style="535" customWidth="1"/>
    <col min="5892" max="5892" width="11" style="535" customWidth="1"/>
    <col min="5893" max="5893" width="8.85546875" style="535" customWidth="1"/>
    <col min="5894" max="5894" width="10.42578125" style="535" customWidth="1"/>
    <col min="5895" max="5895" width="8.5703125" style="535" customWidth="1"/>
    <col min="5896" max="5896" width="9.5703125" style="535" customWidth="1"/>
    <col min="5897" max="5897" width="9.7109375" style="535" customWidth="1"/>
    <col min="5898" max="5898" width="9.85546875" style="535" customWidth="1"/>
    <col min="5899" max="5899" width="10" style="535" customWidth="1"/>
    <col min="5900" max="5900" width="10.7109375" style="535" customWidth="1"/>
    <col min="5901" max="5901" width="10.140625" style="535" customWidth="1"/>
    <col min="5902" max="5902" width="16.5703125" style="535" customWidth="1"/>
    <col min="5903" max="5903" width="11.140625" style="535" customWidth="1"/>
    <col min="5904" max="5904" width="9.28515625" style="535" customWidth="1"/>
    <col min="5905" max="6144" width="16.5703125" style="535"/>
    <col min="6145" max="6145" width="3.7109375" style="535" customWidth="1"/>
    <col min="6146" max="6146" width="10.42578125" style="535" customWidth="1"/>
    <col min="6147" max="6147" width="23.140625" style="535" customWidth="1"/>
    <col min="6148" max="6148" width="11" style="535" customWidth="1"/>
    <col min="6149" max="6149" width="8.85546875" style="535" customWidth="1"/>
    <col min="6150" max="6150" width="10.42578125" style="535" customWidth="1"/>
    <col min="6151" max="6151" width="8.5703125" style="535" customWidth="1"/>
    <col min="6152" max="6152" width="9.5703125" style="535" customWidth="1"/>
    <col min="6153" max="6153" width="9.7109375" style="535" customWidth="1"/>
    <col min="6154" max="6154" width="9.85546875" style="535" customWidth="1"/>
    <col min="6155" max="6155" width="10" style="535" customWidth="1"/>
    <col min="6156" max="6156" width="10.7109375" style="535" customWidth="1"/>
    <col min="6157" max="6157" width="10.140625" style="535" customWidth="1"/>
    <col min="6158" max="6158" width="16.5703125" style="535" customWidth="1"/>
    <col min="6159" max="6159" width="11.140625" style="535" customWidth="1"/>
    <col min="6160" max="6160" width="9.28515625" style="535" customWidth="1"/>
    <col min="6161" max="6400" width="16.5703125" style="535"/>
    <col min="6401" max="6401" width="3.7109375" style="535" customWidth="1"/>
    <col min="6402" max="6402" width="10.42578125" style="535" customWidth="1"/>
    <col min="6403" max="6403" width="23.140625" style="535" customWidth="1"/>
    <col min="6404" max="6404" width="11" style="535" customWidth="1"/>
    <col min="6405" max="6405" width="8.85546875" style="535" customWidth="1"/>
    <col min="6406" max="6406" width="10.42578125" style="535" customWidth="1"/>
    <col min="6407" max="6407" width="8.5703125" style="535" customWidth="1"/>
    <col min="6408" max="6408" width="9.5703125" style="535" customWidth="1"/>
    <col min="6409" max="6409" width="9.7109375" style="535" customWidth="1"/>
    <col min="6410" max="6410" width="9.85546875" style="535" customWidth="1"/>
    <col min="6411" max="6411" width="10" style="535" customWidth="1"/>
    <col min="6412" max="6412" width="10.7109375" style="535" customWidth="1"/>
    <col min="6413" max="6413" width="10.140625" style="535" customWidth="1"/>
    <col min="6414" max="6414" width="16.5703125" style="535" customWidth="1"/>
    <col min="6415" max="6415" width="11.140625" style="535" customWidth="1"/>
    <col min="6416" max="6416" width="9.28515625" style="535" customWidth="1"/>
    <col min="6417" max="6656" width="16.5703125" style="535"/>
    <col min="6657" max="6657" width="3.7109375" style="535" customWidth="1"/>
    <col min="6658" max="6658" width="10.42578125" style="535" customWidth="1"/>
    <col min="6659" max="6659" width="23.140625" style="535" customWidth="1"/>
    <col min="6660" max="6660" width="11" style="535" customWidth="1"/>
    <col min="6661" max="6661" width="8.85546875" style="535" customWidth="1"/>
    <col min="6662" max="6662" width="10.42578125" style="535" customWidth="1"/>
    <col min="6663" max="6663" width="8.5703125" style="535" customWidth="1"/>
    <col min="6664" max="6664" width="9.5703125" style="535" customWidth="1"/>
    <col min="6665" max="6665" width="9.7109375" style="535" customWidth="1"/>
    <col min="6666" max="6666" width="9.85546875" style="535" customWidth="1"/>
    <col min="6667" max="6667" width="10" style="535" customWidth="1"/>
    <col min="6668" max="6668" width="10.7109375" style="535" customWidth="1"/>
    <col min="6669" max="6669" width="10.140625" style="535" customWidth="1"/>
    <col min="6670" max="6670" width="16.5703125" style="535" customWidth="1"/>
    <col min="6671" max="6671" width="11.140625" style="535" customWidth="1"/>
    <col min="6672" max="6672" width="9.28515625" style="535" customWidth="1"/>
    <col min="6673" max="6912" width="16.5703125" style="535"/>
    <col min="6913" max="6913" width="3.7109375" style="535" customWidth="1"/>
    <col min="6914" max="6914" width="10.42578125" style="535" customWidth="1"/>
    <col min="6915" max="6915" width="23.140625" style="535" customWidth="1"/>
    <col min="6916" max="6916" width="11" style="535" customWidth="1"/>
    <col min="6917" max="6917" width="8.85546875" style="535" customWidth="1"/>
    <col min="6918" max="6918" width="10.42578125" style="535" customWidth="1"/>
    <col min="6919" max="6919" width="8.5703125" style="535" customWidth="1"/>
    <col min="6920" max="6920" width="9.5703125" style="535" customWidth="1"/>
    <col min="6921" max="6921" width="9.7109375" style="535" customWidth="1"/>
    <col min="6922" max="6922" width="9.85546875" style="535" customWidth="1"/>
    <col min="6923" max="6923" width="10" style="535" customWidth="1"/>
    <col min="6924" max="6924" width="10.7109375" style="535" customWidth="1"/>
    <col min="6925" max="6925" width="10.140625" style="535" customWidth="1"/>
    <col min="6926" max="6926" width="16.5703125" style="535" customWidth="1"/>
    <col min="6927" max="6927" width="11.140625" style="535" customWidth="1"/>
    <col min="6928" max="6928" width="9.28515625" style="535" customWidth="1"/>
    <col min="6929" max="7168" width="16.5703125" style="535"/>
    <col min="7169" max="7169" width="3.7109375" style="535" customWidth="1"/>
    <col min="7170" max="7170" width="10.42578125" style="535" customWidth="1"/>
    <col min="7171" max="7171" width="23.140625" style="535" customWidth="1"/>
    <col min="7172" max="7172" width="11" style="535" customWidth="1"/>
    <col min="7173" max="7173" width="8.85546875" style="535" customWidth="1"/>
    <col min="7174" max="7174" width="10.42578125" style="535" customWidth="1"/>
    <col min="7175" max="7175" width="8.5703125" style="535" customWidth="1"/>
    <col min="7176" max="7176" width="9.5703125" style="535" customWidth="1"/>
    <col min="7177" max="7177" width="9.7109375" style="535" customWidth="1"/>
    <col min="7178" max="7178" width="9.85546875" style="535" customWidth="1"/>
    <col min="7179" max="7179" width="10" style="535" customWidth="1"/>
    <col min="7180" max="7180" width="10.7109375" style="535" customWidth="1"/>
    <col min="7181" max="7181" width="10.140625" style="535" customWidth="1"/>
    <col min="7182" max="7182" width="16.5703125" style="535" customWidth="1"/>
    <col min="7183" max="7183" width="11.140625" style="535" customWidth="1"/>
    <col min="7184" max="7184" width="9.28515625" style="535" customWidth="1"/>
    <col min="7185" max="7424" width="16.5703125" style="535"/>
    <col min="7425" max="7425" width="3.7109375" style="535" customWidth="1"/>
    <col min="7426" max="7426" width="10.42578125" style="535" customWidth="1"/>
    <col min="7427" max="7427" width="23.140625" style="535" customWidth="1"/>
    <col min="7428" max="7428" width="11" style="535" customWidth="1"/>
    <col min="7429" max="7429" width="8.85546875" style="535" customWidth="1"/>
    <col min="7430" max="7430" width="10.42578125" style="535" customWidth="1"/>
    <col min="7431" max="7431" width="8.5703125" style="535" customWidth="1"/>
    <col min="7432" max="7432" width="9.5703125" style="535" customWidth="1"/>
    <col min="7433" max="7433" width="9.7109375" style="535" customWidth="1"/>
    <col min="7434" max="7434" width="9.85546875" style="535" customWidth="1"/>
    <col min="7435" max="7435" width="10" style="535" customWidth="1"/>
    <col min="7436" max="7436" width="10.7109375" style="535" customWidth="1"/>
    <col min="7437" max="7437" width="10.140625" style="535" customWidth="1"/>
    <col min="7438" max="7438" width="16.5703125" style="535" customWidth="1"/>
    <col min="7439" max="7439" width="11.140625" style="535" customWidth="1"/>
    <col min="7440" max="7440" width="9.28515625" style="535" customWidth="1"/>
    <col min="7441" max="7680" width="16.5703125" style="535"/>
    <col min="7681" max="7681" width="3.7109375" style="535" customWidth="1"/>
    <col min="7682" max="7682" width="10.42578125" style="535" customWidth="1"/>
    <col min="7683" max="7683" width="23.140625" style="535" customWidth="1"/>
    <col min="7684" max="7684" width="11" style="535" customWidth="1"/>
    <col min="7685" max="7685" width="8.85546875" style="535" customWidth="1"/>
    <col min="7686" max="7686" width="10.42578125" style="535" customWidth="1"/>
    <col min="7687" max="7687" width="8.5703125" style="535" customWidth="1"/>
    <col min="7688" max="7688" width="9.5703125" style="535" customWidth="1"/>
    <col min="7689" max="7689" width="9.7109375" style="535" customWidth="1"/>
    <col min="7690" max="7690" width="9.85546875" style="535" customWidth="1"/>
    <col min="7691" max="7691" width="10" style="535" customWidth="1"/>
    <col min="7692" max="7692" width="10.7109375" style="535" customWidth="1"/>
    <col min="7693" max="7693" width="10.140625" style="535" customWidth="1"/>
    <col min="7694" max="7694" width="16.5703125" style="535" customWidth="1"/>
    <col min="7695" max="7695" width="11.140625" style="535" customWidth="1"/>
    <col min="7696" max="7696" width="9.28515625" style="535" customWidth="1"/>
    <col min="7697" max="7936" width="16.5703125" style="535"/>
    <col min="7937" max="7937" width="3.7109375" style="535" customWidth="1"/>
    <col min="7938" max="7938" width="10.42578125" style="535" customWidth="1"/>
    <col min="7939" max="7939" width="23.140625" style="535" customWidth="1"/>
    <col min="7940" max="7940" width="11" style="535" customWidth="1"/>
    <col min="7941" max="7941" width="8.85546875" style="535" customWidth="1"/>
    <col min="7942" max="7942" width="10.42578125" style="535" customWidth="1"/>
    <col min="7943" max="7943" width="8.5703125" style="535" customWidth="1"/>
    <col min="7944" max="7944" width="9.5703125" style="535" customWidth="1"/>
    <col min="7945" max="7945" width="9.7109375" style="535" customWidth="1"/>
    <col min="7946" max="7946" width="9.85546875" style="535" customWidth="1"/>
    <col min="7947" max="7947" width="10" style="535" customWidth="1"/>
    <col min="7948" max="7948" width="10.7109375" style="535" customWidth="1"/>
    <col min="7949" max="7949" width="10.140625" style="535" customWidth="1"/>
    <col min="7950" max="7950" width="16.5703125" style="535" customWidth="1"/>
    <col min="7951" max="7951" width="11.140625" style="535" customWidth="1"/>
    <col min="7952" max="7952" width="9.28515625" style="535" customWidth="1"/>
    <col min="7953" max="8192" width="16.5703125" style="535"/>
    <col min="8193" max="8193" width="3.7109375" style="535" customWidth="1"/>
    <col min="8194" max="8194" width="10.42578125" style="535" customWidth="1"/>
    <col min="8195" max="8195" width="23.140625" style="535" customWidth="1"/>
    <col min="8196" max="8196" width="11" style="535" customWidth="1"/>
    <col min="8197" max="8197" width="8.85546875" style="535" customWidth="1"/>
    <col min="8198" max="8198" width="10.42578125" style="535" customWidth="1"/>
    <col min="8199" max="8199" width="8.5703125" style="535" customWidth="1"/>
    <col min="8200" max="8200" width="9.5703125" style="535" customWidth="1"/>
    <col min="8201" max="8201" width="9.7109375" style="535" customWidth="1"/>
    <col min="8202" max="8202" width="9.85546875" style="535" customWidth="1"/>
    <col min="8203" max="8203" width="10" style="535" customWidth="1"/>
    <col min="8204" max="8204" width="10.7109375" style="535" customWidth="1"/>
    <col min="8205" max="8205" width="10.140625" style="535" customWidth="1"/>
    <col min="8206" max="8206" width="16.5703125" style="535" customWidth="1"/>
    <col min="8207" max="8207" width="11.140625" style="535" customWidth="1"/>
    <col min="8208" max="8208" width="9.28515625" style="535" customWidth="1"/>
    <col min="8209" max="8448" width="16.5703125" style="535"/>
    <col min="8449" max="8449" width="3.7109375" style="535" customWidth="1"/>
    <col min="8450" max="8450" width="10.42578125" style="535" customWidth="1"/>
    <col min="8451" max="8451" width="23.140625" style="535" customWidth="1"/>
    <col min="8452" max="8452" width="11" style="535" customWidth="1"/>
    <col min="8453" max="8453" width="8.85546875" style="535" customWidth="1"/>
    <col min="8454" max="8454" width="10.42578125" style="535" customWidth="1"/>
    <col min="8455" max="8455" width="8.5703125" style="535" customWidth="1"/>
    <col min="8456" max="8456" width="9.5703125" style="535" customWidth="1"/>
    <col min="8457" max="8457" width="9.7109375" style="535" customWidth="1"/>
    <col min="8458" max="8458" width="9.85546875" style="535" customWidth="1"/>
    <col min="8459" max="8459" width="10" style="535" customWidth="1"/>
    <col min="8460" max="8460" width="10.7109375" style="535" customWidth="1"/>
    <col min="8461" max="8461" width="10.140625" style="535" customWidth="1"/>
    <col min="8462" max="8462" width="16.5703125" style="535" customWidth="1"/>
    <col min="8463" max="8463" width="11.140625" style="535" customWidth="1"/>
    <col min="8464" max="8464" width="9.28515625" style="535" customWidth="1"/>
    <col min="8465" max="8704" width="16.5703125" style="535"/>
    <col min="8705" max="8705" width="3.7109375" style="535" customWidth="1"/>
    <col min="8706" max="8706" width="10.42578125" style="535" customWidth="1"/>
    <col min="8707" max="8707" width="23.140625" style="535" customWidth="1"/>
    <col min="8708" max="8708" width="11" style="535" customWidth="1"/>
    <col min="8709" max="8709" width="8.85546875" style="535" customWidth="1"/>
    <col min="8710" max="8710" width="10.42578125" style="535" customWidth="1"/>
    <col min="8711" max="8711" width="8.5703125" style="535" customWidth="1"/>
    <col min="8712" max="8712" width="9.5703125" style="535" customWidth="1"/>
    <col min="8713" max="8713" width="9.7109375" style="535" customWidth="1"/>
    <col min="8714" max="8714" width="9.85546875" style="535" customWidth="1"/>
    <col min="8715" max="8715" width="10" style="535" customWidth="1"/>
    <col min="8716" max="8716" width="10.7109375" style="535" customWidth="1"/>
    <col min="8717" max="8717" width="10.140625" style="535" customWidth="1"/>
    <col min="8718" max="8718" width="16.5703125" style="535" customWidth="1"/>
    <col min="8719" max="8719" width="11.140625" style="535" customWidth="1"/>
    <col min="8720" max="8720" width="9.28515625" style="535" customWidth="1"/>
    <col min="8721" max="8960" width="16.5703125" style="535"/>
    <col min="8961" max="8961" width="3.7109375" style="535" customWidth="1"/>
    <col min="8962" max="8962" width="10.42578125" style="535" customWidth="1"/>
    <col min="8963" max="8963" width="23.140625" style="535" customWidth="1"/>
    <col min="8964" max="8964" width="11" style="535" customWidth="1"/>
    <col min="8965" max="8965" width="8.85546875" style="535" customWidth="1"/>
    <col min="8966" max="8966" width="10.42578125" style="535" customWidth="1"/>
    <col min="8967" max="8967" width="8.5703125" style="535" customWidth="1"/>
    <col min="8968" max="8968" width="9.5703125" style="535" customWidth="1"/>
    <col min="8969" max="8969" width="9.7109375" style="535" customWidth="1"/>
    <col min="8970" max="8970" width="9.85546875" style="535" customWidth="1"/>
    <col min="8971" max="8971" width="10" style="535" customWidth="1"/>
    <col min="8972" max="8972" width="10.7109375" style="535" customWidth="1"/>
    <col min="8973" max="8973" width="10.140625" style="535" customWidth="1"/>
    <col min="8974" max="8974" width="16.5703125" style="535" customWidth="1"/>
    <col min="8975" max="8975" width="11.140625" style="535" customWidth="1"/>
    <col min="8976" max="8976" width="9.28515625" style="535" customWidth="1"/>
    <col min="8977" max="9216" width="16.5703125" style="535"/>
    <col min="9217" max="9217" width="3.7109375" style="535" customWidth="1"/>
    <col min="9218" max="9218" width="10.42578125" style="535" customWidth="1"/>
    <col min="9219" max="9219" width="23.140625" style="535" customWidth="1"/>
    <col min="9220" max="9220" width="11" style="535" customWidth="1"/>
    <col min="9221" max="9221" width="8.85546875" style="535" customWidth="1"/>
    <col min="9222" max="9222" width="10.42578125" style="535" customWidth="1"/>
    <col min="9223" max="9223" width="8.5703125" style="535" customWidth="1"/>
    <col min="9224" max="9224" width="9.5703125" style="535" customWidth="1"/>
    <col min="9225" max="9225" width="9.7109375" style="535" customWidth="1"/>
    <col min="9226" max="9226" width="9.85546875" style="535" customWidth="1"/>
    <col min="9227" max="9227" width="10" style="535" customWidth="1"/>
    <col min="9228" max="9228" width="10.7109375" style="535" customWidth="1"/>
    <col min="9229" max="9229" width="10.140625" style="535" customWidth="1"/>
    <col min="9230" max="9230" width="16.5703125" style="535" customWidth="1"/>
    <col min="9231" max="9231" width="11.140625" style="535" customWidth="1"/>
    <col min="9232" max="9232" width="9.28515625" style="535" customWidth="1"/>
    <col min="9233" max="9472" width="16.5703125" style="535"/>
    <col min="9473" max="9473" width="3.7109375" style="535" customWidth="1"/>
    <col min="9474" max="9474" width="10.42578125" style="535" customWidth="1"/>
    <col min="9475" max="9475" width="23.140625" style="535" customWidth="1"/>
    <col min="9476" max="9476" width="11" style="535" customWidth="1"/>
    <col min="9477" max="9477" width="8.85546875" style="535" customWidth="1"/>
    <col min="9478" max="9478" width="10.42578125" style="535" customWidth="1"/>
    <col min="9479" max="9479" width="8.5703125" style="535" customWidth="1"/>
    <col min="9480" max="9480" width="9.5703125" style="535" customWidth="1"/>
    <col min="9481" max="9481" width="9.7109375" style="535" customWidth="1"/>
    <col min="9482" max="9482" width="9.85546875" style="535" customWidth="1"/>
    <col min="9483" max="9483" width="10" style="535" customWidth="1"/>
    <col min="9484" max="9484" width="10.7109375" style="535" customWidth="1"/>
    <col min="9485" max="9485" width="10.140625" style="535" customWidth="1"/>
    <col min="9486" max="9486" width="16.5703125" style="535" customWidth="1"/>
    <col min="9487" max="9487" width="11.140625" style="535" customWidth="1"/>
    <col min="9488" max="9488" width="9.28515625" style="535" customWidth="1"/>
    <col min="9489" max="9728" width="16.5703125" style="535"/>
    <col min="9729" max="9729" width="3.7109375" style="535" customWidth="1"/>
    <col min="9730" max="9730" width="10.42578125" style="535" customWidth="1"/>
    <col min="9731" max="9731" width="23.140625" style="535" customWidth="1"/>
    <col min="9732" max="9732" width="11" style="535" customWidth="1"/>
    <col min="9733" max="9733" width="8.85546875" style="535" customWidth="1"/>
    <col min="9734" max="9734" width="10.42578125" style="535" customWidth="1"/>
    <col min="9735" max="9735" width="8.5703125" style="535" customWidth="1"/>
    <col min="9736" max="9736" width="9.5703125" style="535" customWidth="1"/>
    <col min="9737" max="9737" width="9.7109375" style="535" customWidth="1"/>
    <col min="9738" max="9738" width="9.85546875" style="535" customWidth="1"/>
    <col min="9739" max="9739" width="10" style="535" customWidth="1"/>
    <col min="9740" max="9740" width="10.7109375" style="535" customWidth="1"/>
    <col min="9741" max="9741" width="10.140625" style="535" customWidth="1"/>
    <col min="9742" max="9742" width="16.5703125" style="535" customWidth="1"/>
    <col min="9743" max="9743" width="11.140625" style="535" customWidth="1"/>
    <col min="9744" max="9744" width="9.28515625" style="535" customWidth="1"/>
    <col min="9745" max="9984" width="16.5703125" style="535"/>
    <col min="9985" max="9985" width="3.7109375" style="535" customWidth="1"/>
    <col min="9986" max="9986" width="10.42578125" style="535" customWidth="1"/>
    <col min="9987" max="9987" width="23.140625" style="535" customWidth="1"/>
    <col min="9988" max="9988" width="11" style="535" customWidth="1"/>
    <col min="9989" max="9989" width="8.85546875" style="535" customWidth="1"/>
    <col min="9990" max="9990" width="10.42578125" style="535" customWidth="1"/>
    <col min="9991" max="9991" width="8.5703125" style="535" customWidth="1"/>
    <col min="9992" max="9992" width="9.5703125" style="535" customWidth="1"/>
    <col min="9993" max="9993" width="9.7109375" style="535" customWidth="1"/>
    <col min="9994" max="9994" width="9.85546875" style="535" customWidth="1"/>
    <col min="9995" max="9995" width="10" style="535" customWidth="1"/>
    <col min="9996" max="9996" width="10.7109375" style="535" customWidth="1"/>
    <col min="9997" max="9997" width="10.140625" style="535" customWidth="1"/>
    <col min="9998" max="9998" width="16.5703125" style="535" customWidth="1"/>
    <col min="9999" max="9999" width="11.140625" style="535" customWidth="1"/>
    <col min="10000" max="10000" width="9.28515625" style="535" customWidth="1"/>
    <col min="10001" max="10240" width="16.5703125" style="535"/>
    <col min="10241" max="10241" width="3.7109375" style="535" customWidth="1"/>
    <col min="10242" max="10242" width="10.42578125" style="535" customWidth="1"/>
    <col min="10243" max="10243" width="23.140625" style="535" customWidth="1"/>
    <col min="10244" max="10244" width="11" style="535" customWidth="1"/>
    <col min="10245" max="10245" width="8.85546875" style="535" customWidth="1"/>
    <col min="10246" max="10246" width="10.42578125" style="535" customWidth="1"/>
    <col min="10247" max="10247" width="8.5703125" style="535" customWidth="1"/>
    <col min="10248" max="10248" width="9.5703125" style="535" customWidth="1"/>
    <col min="10249" max="10249" width="9.7109375" style="535" customWidth="1"/>
    <col min="10250" max="10250" width="9.85546875" style="535" customWidth="1"/>
    <col min="10251" max="10251" width="10" style="535" customWidth="1"/>
    <col min="10252" max="10252" width="10.7109375" style="535" customWidth="1"/>
    <col min="10253" max="10253" width="10.140625" style="535" customWidth="1"/>
    <col min="10254" max="10254" width="16.5703125" style="535" customWidth="1"/>
    <col min="10255" max="10255" width="11.140625" style="535" customWidth="1"/>
    <col min="10256" max="10256" width="9.28515625" style="535" customWidth="1"/>
    <col min="10257" max="10496" width="16.5703125" style="535"/>
    <col min="10497" max="10497" width="3.7109375" style="535" customWidth="1"/>
    <col min="10498" max="10498" width="10.42578125" style="535" customWidth="1"/>
    <col min="10499" max="10499" width="23.140625" style="535" customWidth="1"/>
    <col min="10500" max="10500" width="11" style="535" customWidth="1"/>
    <col min="10501" max="10501" width="8.85546875" style="535" customWidth="1"/>
    <col min="10502" max="10502" width="10.42578125" style="535" customWidth="1"/>
    <col min="10503" max="10503" width="8.5703125" style="535" customWidth="1"/>
    <col min="10504" max="10504" width="9.5703125" style="535" customWidth="1"/>
    <col min="10505" max="10505" width="9.7109375" style="535" customWidth="1"/>
    <col min="10506" max="10506" width="9.85546875" style="535" customWidth="1"/>
    <col min="10507" max="10507" width="10" style="535" customWidth="1"/>
    <col min="10508" max="10508" width="10.7109375" style="535" customWidth="1"/>
    <col min="10509" max="10509" width="10.140625" style="535" customWidth="1"/>
    <col min="10510" max="10510" width="16.5703125" style="535" customWidth="1"/>
    <col min="10511" max="10511" width="11.140625" style="535" customWidth="1"/>
    <col min="10512" max="10512" width="9.28515625" style="535" customWidth="1"/>
    <col min="10513" max="10752" width="16.5703125" style="535"/>
    <col min="10753" max="10753" width="3.7109375" style="535" customWidth="1"/>
    <col min="10754" max="10754" width="10.42578125" style="535" customWidth="1"/>
    <col min="10755" max="10755" width="23.140625" style="535" customWidth="1"/>
    <col min="10756" max="10756" width="11" style="535" customWidth="1"/>
    <col min="10757" max="10757" width="8.85546875" style="535" customWidth="1"/>
    <col min="10758" max="10758" width="10.42578125" style="535" customWidth="1"/>
    <col min="10759" max="10759" width="8.5703125" style="535" customWidth="1"/>
    <col min="10760" max="10760" width="9.5703125" style="535" customWidth="1"/>
    <col min="10761" max="10761" width="9.7109375" style="535" customWidth="1"/>
    <col min="10762" max="10762" width="9.85546875" style="535" customWidth="1"/>
    <col min="10763" max="10763" width="10" style="535" customWidth="1"/>
    <col min="10764" max="10764" width="10.7109375" style="535" customWidth="1"/>
    <col min="10765" max="10765" width="10.140625" style="535" customWidth="1"/>
    <col min="10766" max="10766" width="16.5703125" style="535" customWidth="1"/>
    <col min="10767" max="10767" width="11.140625" style="535" customWidth="1"/>
    <col min="10768" max="10768" width="9.28515625" style="535" customWidth="1"/>
    <col min="10769" max="11008" width="16.5703125" style="535"/>
    <col min="11009" max="11009" width="3.7109375" style="535" customWidth="1"/>
    <col min="11010" max="11010" width="10.42578125" style="535" customWidth="1"/>
    <col min="11011" max="11011" width="23.140625" style="535" customWidth="1"/>
    <col min="11012" max="11012" width="11" style="535" customWidth="1"/>
    <col min="11013" max="11013" width="8.85546875" style="535" customWidth="1"/>
    <col min="11014" max="11014" width="10.42578125" style="535" customWidth="1"/>
    <col min="11015" max="11015" width="8.5703125" style="535" customWidth="1"/>
    <col min="11016" max="11016" width="9.5703125" style="535" customWidth="1"/>
    <col min="11017" max="11017" width="9.7109375" style="535" customWidth="1"/>
    <col min="11018" max="11018" width="9.85546875" style="535" customWidth="1"/>
    <col min="11019" max="11019" width="10" style="535" customWidth="1"/>
    <col min="11020" max="11020" width="10.7109375" style="535" customWidth="1"/>
    <col min="11021" max="11021" width="10.140625" style="535" customWidth="1"/>
    <col min="11022" max="11022" width="16.5703125" style="535" customWidth="1"/>
    <col min="11023" max="11023" width="11.140625" style="535" customWidth="1"/>
    <col min="11024" max="11024" width="9.28515625" style="535" customWidth="1"/>
    <col min="11025" max="11264" width="16.5703125" style="535"/>
    <col min="11265" max="11265" width="3.7109375" style="535" customWidth="1"/>
    <col min="11266" max="11266" width="10.42578125" style="535" customWidth="1"/>
    <col min="11267" max="11267" width="23.140625" style="535" customWidth="1"/>
    <col min="11268" max="11268" width="11" style="535" customWidth="1"/>
    <col min="11269" max="11269" width="8.85546875" style="535" customWidth="1"/>
    <col min="11270" max="11270" width="10.42578125" style="535" customWidth="1"/>
    <col min="11271" max="11271" width="8.5703125" style="535" customWidth="1"/>
    <col min="11272" max="11272" width="9.5703125" style="535" customWidth="1"/>
    <col min="11273" max="11273" width="9.7109375" style="535" customWidth="1"/>
    <col min="11274" max="11274" width="9.85546875" style="535" customWidth="1"/>
    <col min="11275" max="11275" width="10" style="535" customWidth="1"/>
    <col min="11276" max="11276" width="10.7109375" style="535" customWidth="1"/>
    <col min="11277" max="11277" width="10.140625" style="535" customWidth="1"/>
    <col min="11278" max="11278" width="16.5703125" style="535" customWidth="1"/>
    <col min="11279" max="11279" width="11.140625" style="535" customWidth="1"/>
    <col min="11280" max="11280" width="9.28515625" style="535" customWidth="1"/>
    <col min="11281" max="11520" width="16.5703125" style="535"/>
    <col min="11521" max="11521" width="3.7109375" style="535" customWidth="1"/>
    <col min="11522" max="11522" width="10.42578125" style="535" customWidth="1"/>
    <col min="11523" max="11523" width="23.140625" style="535" customWidth="1"/>
    <col min="11524" max="11524" width="11" style="535" customWidth="1"/>
    <col min="11525" max="11525" width="8.85546875" style="535" customWidth="1"/>
    <col min="11526" max="11526" width="10.42578125" style="535" customWidth="1"/>
    <col min="11527" max="11527" width="8.5703125" style="535" customWidth="1"/>
    <col min="11528" max="11528" width="9.5703125" style="535" customWidth="1"/>
    <col min="11529" max="11529" width="9.7109375" style="535" customWidth="1"/>
    <col min="11530" max="11530" width="9.85546875" style="535" customWidth="1"/>
    <col min="11531" max="11531" width="10" style="535" customWidth="1"/>
    <col min="11532" max="11532" width="10.7109375" style="535" customWidth="1"/>
    <col min="11533" max="11533" width="10.140625" style="535" customWidth="1"/>
    <col min="11534" max="11534" width="16.5703125" style="535" customWidth="1"/>
    <col min="11535" max="11535" width="11.140625" style="535" customWidth="1"/>
    <col min="11536" max="11536" width="9.28515625" style="535" customWidth="1"/>
    <col min="11537" max="11776" width="16.5703125" style="535"/>
    <col min="11777" max="11777" width="3.7109375" style="535" customWidth="1"/>
    <col min="11778" max="11778" width="10.42578125" style="535" customWidth="1"/>
    <col min="11779" max="11779" width="23.140625" style="535" customWidth="1"/>
    <col min="11780" max="11780" width="11" style="535" customWidth="1"/>
    <col min="11781" max="11781" width="8.85546875" style="535" customWidth="1"/>
    <col min="11782" max="11782" width="10.42578125" style="535" customWidth="1"/>
    <col min="11783" max="11783" width="8.5703125" style="535" customWidth="1"/>
    <col min="11784" max="11784" width="9.5703125" style="535" customWidth="1"/>
    <col min="11785" max="11785" width="9.7109375" style="535" customWidth="1"/>
    <col min="11786" max="11786" width="9.85546875" style="535" customWidth="1"/>
    <col min="11787" max="11787" width="10" style="535" customWidth="1"/>
    <col min="11788" max="11788" width="10.7109375" style="535" customWidth="1"/>
    <col min="11789" max="11789" width="10.140625" style="535" customWidth="1"/>
    <col min="11790" max="11790" width="16.5703125" style="535" customWidth="1"/>
    <col min="11791" max="11791" width="11.140625" style="535" customWidth="1"/>
    <col min="11792" max="11792" width="9.28515625" style="535" customWidth="1"/>
    <col min="11793" max="12032" width="16.5703125" style="535"/>
    <col min="12033" max="12033" width="3.7109375" style="535" customWidth="1"/>
    <col min="12034" max="12034" width="10.42578125" style="535" customWidth="1"/>
    <col min="12035" max="12035" width="23.140625" style="535" customWidth="1"/>
    <col min="12036" max="12036" width="11" style="535" customWidth="1"/>
    <col min="12037" max="12037" width="8.85546875" style="535" customWidth="1"/>
    <col min="12038" max="12038" width="10.42578125" style="535" customWidth="1"/>
    <col min="12039" max="12039" width="8.5703125" style="535" customWidth="1"/>
    <col min="12040" max="12040" width="9.5703125" style="535" customWidth="1"/>
    <col min="12041" max="12041" width="9.7109375" style="535" customWidth="1"/>
    <col min="12042" max="12042" width="9.85546875" style="535" customWidth="1"/>
    <col min="12043" max="12043" width="10" style="535" customWidth="1"/>
    <col min="12044" max="12044" width="10.7109375" style="535" customWidth="1"/>
    <col min="12045" max="12045" width="10.140625" style="535" customWidth="1"/>
    <col min="12046" max="12046" width="16.5703125" style="535" customWidth="1"/>
    <col min="12047" max="12047" width="11.140625" style="535" customWidth="1"/>
    <col min="12048" max="12048" width="9.28515625" style="535" customWidth="1"/>
    <col min="12049" max="12288" width="16.5703125" style="535"/>
    <col min="12289" max="12289" width="3.7109375" style="535" customWidth="1"/>
    <col min="12290" max="12290" width="10.42578125" style="535" customWidth="1"/>
    <col min="12291" max="12291" width="23.140625" style="535" customWidth="1"/>
    <col min="12292" max="12292" width="11" style="535" customWidth="1"/>
    <col min="12293" max="12293" width="8.85546875" style="535" customWidth="1"/>
    <col min="12294" max="12294" width="10.42578125" style="535" customWidth="1"/>
    <col min="12295" max="12295" width="8.5703125" style="535" customWidth="1"/>
    <col min="12296" max="12296" width="9.5703125" style="535" customWidth="1"/>
    <col min="12297" max="12297" width="9.7109375" style="535" customWidth="1"/>
    <col min="12298" max="12298" width="9.85546875" style="535" customWidth="1"/>
    <col min="12299" max="12299" width="10" style="535" customWidth="1"/>
    <col min="12300" max="12300" width="10.7109375" style="535" customWidth="1"/>
    <col min="12301" max="12301" width="10.140625" style="535" customWidth="1"/>
    <col min="12302" max="12302" width="16.5703125" style="535" customWidth="1"/>
    <col min="12303" max="12303" width="11.140625" style="535" customWidth="1"/>
    <col min="12304" max="12304" width="9.28515625" style="535" customWidth="1"/>
    <col min="12305" max="12544" width="16.5703125" style="535"/>
    <col min="12545" max="12545" width="3.7109375" style="535" customWidth="1"/>
    <col min="12546" max="12546" width="10.42578125" style="535" customWidth="1"/>
    <col min="12547" max="12547" width="23.140625" style="535" customWidth="1"/>
    <col min="12548" max="12548" width="11" style="535" customWidth="1"/>
    <col min="12549" max="12549" width="8.85546875" style="535" customWidth="1"/>
    <col min="12550" max="12550" width="10.42578125" style="535" customWidth="1"/>
    <col min="12551" max="12551" width="8.5703125" style="535" customWidth="1"/>
    <col min="12552" max="12552" width="9.5703125" style="535" customWidth="1"/>
    <col min="12553" max="12553" width="9.7109375" style="535" customWidth="1"/>
    <col min="12554" max="12554" width="9.85546875" style="535" customWidth="1"/>
    <col min="12555" max="12555" width="10" style="535" customWidth="1"/>
    <col min="12556" max="12556" width="10.7109375" style="535" customWidth="1"/>
    <col min="12557" max="12557" width="10.140625" style="535" customWidth="1"/>
    <col min="12558" max="12558" width="16.5703125" style="535" customWidth="1"/>
    <col min="12559" max="12559" width="11.140625" style="535" customWidth="1"/>
    <col min="12560" max="12560" width="9.28515625" style="535" customWidth="1"/>
    <col min="12561" max="12800" width="16.5703125" style="535"/>
    <col min="12801" max="12801" width="3.7109375" style="535" customWidth="1"/>
    <col min="12802" max="12802" width="10.42578125" style="535" customWidth="1"/>
    <col min="12803" max="12803" width="23.140625" style="535" customWidth="1"/>
    <col min="12804" max="12804" width="11" style="535" customWidth="1"/>
    <col min="12805" max="12805" width="8.85546875" style="535" customWidth="1"/>
    <col min="12806" max="12806" width="10.42578125" style="535" customWidth="1"/>
    <col min="12807" max="12807" width="8.5703125" style="535" customWidth="1"/>
    <col min="12808" max="12808" width="9.5703125" style="535" customWidth="1"/>
    <col min="12809" max="12809" width="9.7109375" style="535" customWidth="1"/>
    <col min="12810" max="12810" width="9.85546875" style="535" customWidth="1"/>
    <col min="12811" max="12811" width="10" style="535" customWidth="1"/>
    <col min="12812" max="12812" width="10.7109375" style="535" customWidth="1"/>
    <col min="12813" max="12813" width="10.140625" style="535" customWidth="1"/>
    <col min="12814" max="12814" width="16.5703125" style="535" customWidth="1"/>
    <col min="12815" max="12815" width="11.140625" style="535" customWidth="1"/>
    <col min="12816" max="12816" width="9.28515625" style="535" customWidth="1"/>
    <col min="12817" max="13056" width="16.5703125" style="535"/>
    <col min="13057" max="13057" width="3.7109375" style="535" customWidth="1"/>
    <col min="13058" max="13058" width="10.42578125" style="535" customWidth="1"/>
    <col min="13059" max="13059" width="23.140625" style="535" customWidth="1"/>
    <col min="13060" max="13060" width="11" style="535" customWidth="1"/>
    <col min="13061" max="13061" width="8.85546875" style="535" customWidth="1"/>
    <col min="13062" max="13062" width="10.42578125" style="535" customWidth="1"/>
    <col min="13063" max="13063" width="8.5703125" style="535" customWidth="1"/>
    <col min="13064" max="13064" width="9.5703125" style="535" customWidth="1"/>
    <col min="13065" max="13065" width="9.7109375" style="535" customWidth="1"/>
    <col min="13066" max="13066" width="9.85546875" style="535" customWidth="1"/>
    <col min="13067" max="13067" width="10" style="535" customWidth="1"/>
    <col min="13068" max="13068" width="10.7109375" style="535" customWidth="1"/>
    <col min="13069" max="13069" width="10.140625" style="535" customWidth="1"/>
    <col min="13070" max="13070" width="16.5703125" style="535" customWidth="1"/>
    <col min="13071" max="13071" width="11.140625" style="535" customWidth="1"/>
    <col min="13072" max="13072" width="9.28515625" style="535" customWidth="1"/>
    <col min="13073" max="13312" width="16.5703125" style="535"/>
    <col min="13313" max="13313" width="3.7109375" style="535" customWidth="1"/>
    <col min="13314" max="13314" width="10.42578125" style="535" customWidth="1"/>
    <col min="13315" max="13315" width="23.140625" style="535" customWidth="1"/>
    <col min="13316" max="13316" width="11" style="535" customWidth="1"/>
    <col min="13317" max="13317" width="8.85546875" style="535" customWidth="1"/>
    <col min="13318" max="13318" width="10.42578125" style="535" customWidth="1"/>
    <col min="13319" max="13319" width="8.5703125" style="535" customWidth="1"/>
    <col min="13320" max="13320" width="9.5703125" style="535" customWidth="1"/>
    <col min="13321" max="13321" width="9.7109375" style="535" customWidth="1"/>
    <col min="13322" max="13322" width="9.85546875" style="535" customWidth="1"/>
    <col min="13323" max="13323" width="10" style="535" customWidth="1"/>
    <col min="13324" max="13324" width="10.7109375" style="535" customWidth="1"/>
    <col min="13325" max="13325" width="10.140625" style="535" customWidth="1"/>
    <col min="13326" max="13326" width="16.5703125" style="535" customWidth="1"/>
    <col min="13327" max="13327" width="11.140625" style="535" customWidth="1"/>
    <col min="13328" max="13328" width="9.28515625" style="535" customWidth="1"/>
    <col min="13329" max="13568" width="16.5703125" style="535"/>
    <col min="13569" max="13569" width="3.7109375" style="535" customWidth="1"/>
    <col min="13570" max="13570" width="10.42578125" style="535" customWidth="1"/>
    <col min="13571" max="13571" width="23.140625" style="535" customWidth="1"/>
    <col min="13572" max="13572" width="11" style="535" customWidth="1"/>
    <col min="13573" max="13573" width="8.85546875" style="535" customWidth="1"/>
    <col min="13574" max="13574" width="10.42578125" style="535" customWidth="1"/>
    <col min="13575" max="13575" width="8.5703125" style="535" customWidth="1"/>
    <col min="13576" max="13576" width="9.5703125" style="535" customWidth="1"/>
    <col min="13577" max="13577" width="9.7109375" style="535" customWidth="1"/>
    <col min="13578" max="13578" width="9.85546875" style="535" customWidth="1"/>
    <col min="13579" max="13579" width="10" style="535" customWidth="1"/>
    <col min="13580" max="13580" width="10.7109375" style="535" customWidth="1"/>
    <col min="13581" max="13581" width="10.140625" style="535" customWidth="1"/>
    <col min="13582" max="13582" width="16.5703125" style="535" customWidth="1"/>
    <col min="13583" max="13583" width="11.140625" style="535" customWidth="1"/>
    <col min="13584" max="13584" width="9.28515625" style="535" customWidth="1"/>
    <col min="13585" max="13824" width="16.5703125" style="535"/>
    <col min="13825" max="13825" width="3.7109375" style="535" customWidth="1"/>
    <col min="13826" max="13826" width="10.42578125" style="535" customWidth="1"/>
    <col min="13827" max="13827" width="23.140625" style="535" customWidth="1"/>
    <col min="13828" max="13828" width="11" style="535" customWidth="1"/>
    <col min="13829" max="13829" width="8.85546875" style="535" customWidth="1"/>
    <col min="13830" max="13830" width="10.42578125" style="535" customWidth="1"/>
    <col min="13831" max="13831" width="8.5703125" style="535" customWidth="1"/>
    <col min="13832" max="13832" width="9.5703125" style="535" customWidth="1"/>
    <col min="13833" max="13833" width="9.7109375" style="535" customWidth="1"/>
    <col min="13834" max="13834" width="9.85546875" style="535" customWidth="1"/>
    <col min="13835" max="13835" width="10" style="535" customWidth="1"/>
    <col min="13836" max="13836" width="10.7109375" style="535" customWidth="1"/>
    <col min="13837" max="13837" width="10.140625" style="535" customWidth="1"/>
    <col min="13838" max="13838" width="16.5703125" style="535" customWidth="1"/>
    <col min="13839" max="13839" width="11.140625" style="535" customWidth="1"/>
    <col min="13840" max="13840" width="9.28515625" style="535" customWidth="1"/>
    <col min="13841" max="14080" width="16.5703125" style="535"/>
    <col min="14081" max="14081" width="3.7109375" style="535" customWidth="1"/>
    <col min="14082" max="14082" width="10.42578125" style="535" customWidth="1"/>
    <col min="14083" max="14083" width="23.140625" style="535" customWidth="1"/>
    <col min="14084" max="14084" width="11" style="535" customWidth="1"/>
    <col min="14085" max="14085" width="8.85546875" style="535" customWidth="1"/>
    <col min="14086" max="14086" width="10.42578125" style="535" customWidth="1"/>
    <col min="14087" max="14087" width="8.5703125" style="535" customWidth="1"/>
    <col min="14088" max="14088" width="9.5703125" style="535" customWidth="1"/>
    <col min="14089" max="14089" width="9.7109375" style="535" customWidth="1"/>
    <col min="14090" max="14090" width="9.85546875" style="535" customWidth="1"/>
    <col min="14091" max="14091" width="10" style="535" customWidth="1"/>
    <col min="14092" max="14092" width="10.7109375" style="535" customWidth="1"/>
    <col min="14093" max="14093" width="10.140625" style="535" customWidth="1"/>
    <col min="14094" max="14094" width="16.5703125" style="535" customWidth="1"/>
    <col min="14095" max="14095" width="11.140625" style="535" customWidth="1"/>
    <col min="14096" max="14096" width="9.28515625" style="535" customWidth="1"/>
    <col min="14097" max="14336" width="16.5703125" style="535"/>
    <col min="14337" max="14337" width="3.7109375" style="535" customWidth="1"/>
    <col min="14338" max="14338" width="10.42578125" style="535" customWidth="1"/>
    <col min="14339" max="14339" width="23.140625" style="535" customWidth="1"/>
    <col min="14340" max="14340" width="11" style="535" customWidth="1"/>
    <col min="14341" max="14341" width="8.85546875" style="535" customWidth="1"/>
    <col min="14342" max="14342" width="10.42578125" style="535" customWidth="1"/>
    <col min="14343" max="14343" width="8.5703125" style="535" customWidth="1"/>
    <col min="14344" max="14344" width="9.5703125" style="535" customWidth="1"/>
    <col min="14345" max="14345" width="9.7109375" style="535" customWidth="1"/>
    <col min="14346" max="14346" width="9.85546875" style="535" customWidth="1"/>
    <col min="14347" max="14347" width="10" style="535" customWidth="1"/>
    <col min="14348" max="14348" width="10.7109375" style="535" customWidth="1"/>
    <col min="14349" max="14349" width="10.140625" style="535" customWidth="1"/>
    <col min="14350" max="14350" width="16.5703125" style="535" customWidth="1"/>
    <col min="14351" max="14351" width="11.140625" style="535" customWidth="1"/>
    <col min="14352" max="14352" width="9.28515625" style="535" customWidth="1"/>
    <col min="14353" max="14592" width="16.5703125" style="535"/>
    <col min="14593" max="14593" width="3.7109375" style="535" customWidth="1"/>
    <col min="14594" max="14594" width="10.42578125" style="535" customWidth="1"/>
    <col min="14595" max="14595" width="23.140625" style="535" customWidth="1"/>
    <col min="14596" max="14596" width="11" style="535" customWidth="1"/>
    <col min="14597" max="14597" width="8.85546875" style="535" customWidth="1"/>
    <col min="14598" max="14598" width="10.42578125" style="535" customWidth="1"/>
    <col min="14599" max="14599" width="8.5703125" style="535" customWidth="1"/>
    <col min="14600" max="14600" width="9.5703125" style="535" customWidth="1"/>
    <col min="14601" max="14601" width="9.7109375" style="535" customWidth="1"/>
    <col min="14602" max="14602" width="9.85546875" style="535" customWidth="1"/>
    <col min="14603" max="14603" width="10" style="535" customWidth="1"/>
    <col min="14604" max="14604" width="10.7109375" style="535" customWidth="1"/>
    <col min="14605" max="14605" width="10.140625" style="535" customWidth="1"/>
    <col min="14606" max="14606" width="16.5703125" style="535" customWidth="1"/>
    <col min="14607" max="14607" width="11.140625" style="535" customWidth="1"/>
    <col min="14608" max="14608" width="9.28515625" style="535" customWidth="1"/>
    <col min="14609" max="14848" width="16.5703125" style="535"/>
    <col min="14849" max="14849" width="3.7109375" style="535" customWidth="1"/>
    <col min="14850" max="14850" width="10.42578125" style="535" customWidth="1"/>
    <col min="14851" max="14851" width="23.140625" style="535" customWidth="1"/>
    <col min="14852" max="14852" width="11" style="535" customWidth="1"/>
    <col min="14853" max="14853" width="8.85546875" style="535" customWidth="1"/>
    <col min="14854" max="14854" width="10.42578125" style="535" customWidth="1"/>
    <col min="14855" max="14855" width="8.5703125" style="535" customWidth="1"/>
    <col min="14856" max="14856" width="9.5703125" style="535" customWidth="1"/>
    <col min="14857" max="14857" width="9.7109375" style="535" customWidth="1"/>
    <col min="14858" max="14858" width="9.85546875" style="535" customWidth="1"/>
    <col min="14859" max="14859" width="10" style="535" customWidth="1"/>
    <col min="14860" max="14860" width="10.7109375" style="535" customWidth="1"/>
    <col min="14861" max="14861" width="10.140625" style="535" customWidth="1"/>
    <col min="14862" max="14862" width="16.5703125" style="535" customWidth="1"/>
    <col min="14863" max="14863" width="11.140625" style="535" customWidth="1"/>
    <col min="14864" max="14864" width="9.28515625" style="535" customWidth="1"/>
    <col min="14865" max="15104" width="16.5703125" style="535"/>
    <col min="15105" max="15105" width="3.7109375" style="535" customWidth="1"/>
    <col min="15106" max="15106" width="10.42578125" style="535" customWidth="1"/>
    <col min="15107" max="15107" width="23.140625" style="535" customWidth="1"/>
    <col min="15108" max="15108" width="11" style="535" customWidth="1"/>
    <col min="15109" max="15109" width="8.85546875" style="535" customWidth="1"/>
    <col min="15110" max="15110" width="10.42578125" style="535" customWidth="1"/>
    <col min="15111" max="15111" width="8.5703125" style="535" customWidth="1"/>
    <col min="15112" max="15112" width="9.5703125" style="535" customWidth="1"/>
    <col min="15113" max="15113" width="9.7109375" style="535" customWidth="1"/>
    <col min="15114" max="15114" width="9.85546875" style="535" customWidth="1"/>
    <col min="15115" max="15115" width="10" style="535" customWidth="1"/>
    <col min="15116" max="15116" width="10.7109375" style="535" customWidth="1"/>
    <col min="15117" max="15117" width="10.140625" style="535" customWidth="1"/>
    <col min="15118" max="15118" width="16.5703125" style="535" customWidth="1"/>
    <col min="15119" max="15119" width="11.140625" style="535" customWidth="1"/>
    <col min="15120" max="15120" width="9.28515625" style="535" customWidth="1"/>
    <col min="15121" max="15360" width="16.5703125" style="535"/>
    <col min="15361" max="15361" width="3.7109375" style="535" customWidth="1"/>
    <col min="15362" max="15362" width="10.42578125" style="535" customWidth="1"/>
    <col min="15363" max="15363" width="23.140625" style="535" customWidth="1"/>
    <col min="15364" max="15364" width="11" style="535" customWidth="1"/>
    <col min="15365" max="15365" width="8.85546875" style="535" customWidth="1"/>
    <col min="15366" max="15366" width="10.42578125" style="535" customWidth="1"/>
    <col min="15367" max="15367" width="8.5703125" style="535" customWidth="1"/>
    <col min="15368" max="15368" width="9.5703125" style="535" customWidth="1"/>
    <col min="15369" max="15369" width="9.7109375" style="535" customWidth="1"/>
    <col min="15370" max="15370" width="9.85546875" style="535" customWidth="1"/>
    <col min="15371" max="15371" width="10" style="535" customWidth="1"/>
    <col min="15372" max="15372" width="10.7109375" style="535" customWidth="1"/>
    <col min="15373" max="15373" width="10.140625" style="535" customWidth="1"/>
    <col min="15374" max="15374" width="16.5703125" style="535" customWidth="1"/>
    <col min="15375" max="15375" width="11.140625" style="535" customWidth="1"/>
    <col min="15376" max="15376" width="9.28515625" style="535" customWidth="1"/>
    <col min="15377" max="15616" width="16.5703125" style="535"/>
    <col min="15617" max="15617" width="3.7109375" style="535" customWidth="1"/>
    <col min="15618" max="15618" width="10.42578125" style="535" customWidth="1"/>
    <col min="15619" max="15619" width="23.140625" style="535" customWidth="1"/>
    <col min="15620" max="15620" width="11" style="535" customWidth="1"/>
    <col min="15621" max="15621" width="8.85546875" style="535" customWidth="1"/>
    <col min="15622" max="15622" width="10.42578125" style="535" customWidth="1"/>
    <col min="15623" max="15623" width="8.5703125" style="535" customWidth="1"/>
    <col min="15624" max="15624" width="9.5703125" style="535" customWidth="1"/>
    <col min="15625" max="15625" width="9.7109375" style="535" customWidth="1"/>
    <col min="15626" max="15626" width="9.85546875" style="535" customWidth="1"/>
    <col min="15627" max="15627" width="10" style="535" customWidth="1"/>
    <col min="15628" max="15628" width="10.7109375" style="535" customWidth="1"/>
    <col min="15629" max="15629" width="10.140625" style="535" customWidth="1"/>
    <col min="15630" max="15630" width="16.5703125" style="535" customWidth="1"/>
    <col min="15631" max="15631" width="11.140625" style="535" customWidth="1"/>
    <col min="15632" max="15632" width="9.28515625" style="535" customWidth="1"/>
    <col min="15633" max="15872" width="16.5703125" style="535"/>
    <col min="15873" max="15873" width="3.7109375" style="535" customWidth="1"/>
    <col min="15874" max="15874" width="10.42578125" style="535" customWidth="1"/>
    <col min="15875" max="15875" width="23.140625" style="535" customWidth="1"/>
    <col min="15876" max="15876" width="11" style="535" customWidth="1"/>
    <col min="15877" max="15877" width="8.85546875" style="535" customWidth="1"/>
    <col min="15878" max="15878" width="10.42578125" style="535" customWidth="1"/>
    <col min="15879" max="15879" width="8.5703125" style="535" customWidth="1"/>
    <col min="15880" max="15880" width="9.5703125" style="535" customWidth="1"/>
    <col min="15881" max="15881" width="9.7109375" style="535" customWidth="1"/>
    <col min="15882" max="15882" width="9.85546875" style="535" customWidth="1"/>
    <col min="15883" max="15883" width="10" style="535" customWidth="1"/>
    <col min="15884" max="15884" width="10.7109375" style="535" customWidth="1"/>
    <col min="15885" max="15885" width="10.140625" style="535" customWidth="1"/>
    <col min="15886" max="15886" width="16.5703125" style="535" customWidth="1"/>
    <col min="15887" max="15887" width="11.140625" style="535" customWidth="1"/>
    <col min="15888" max="15888" width="9.28515625" style="535" customWidth="1"/>
    <col min="15889" max="16128" width="16.5703125" style="535"/>
    <col min="16129" max="16129" width="3.7109375" style="535" customWidth="1"/>
    <col min="16130" max="16130" width="10.42578125" style="535" customWidth="1"/>
    <col min="16131" max="16131" width="23.140625" style="535" customWidth="1"/>
    <col min="16132" max="16132" width="11" style="535" customWidth="1"/>
    <col min="16133" max="16133" width="8.85546875" style="535" customWidth="1"/>
    <col min="16134" max="16134" width="10.42578125" style="535" customWidth="1"/>
    <col min="16135" max="16135" width="8.5703125" style="535" customWidth="1"/>
    <col min="16136" max="16136" width="9.5703125" style="535" customWidth="1"/>
    <col min="16137" max="16137" width="9.7109375" style="535" customWidth="1"/>
    <col min="16138" max="16138" width="9.85546875" style="535" customWidth="1"/>
    <col min="16139" max="16139" width="10" style="535" customWidth="1"/>
    <col min="16140" max="16140" width="10.7109375" style="535" customWidth="1"/>
    <col min="16141" max="16141" width="10.140625" style="535" customWidth="1"/>
    <col min="16142" max="16142" width="16.5703125" style="535" customWidth="1"/>
    <col min="16143" max="16143" width="11.140625" style="535" customWidth="1"/>
    <col min="16144" max="16144" width="9.28515625" style="535" customWidth="1"/>
    <col min="16145" max="16384" width="16.5703125" style="535"/>
  </cols>
  <sheetData>
    <row r="5" spans="3:18" s="536" customFormat="1" ht="34.5" customHeight="1">
      <c r="C5" s="246" t="s">
        <v>410</v>
      </c>
      <c r="D5" s="247"/>
      <c r="E5" s="247"/>
      <c r="F5" s="247"/>
      <c r="G5" s="247"/>
      <c r="H5" s="247"/>
      <c r="I5" s="247"/>
      <c r="J5" s="247"/>
      <c r="K5" s="247"/>
      <c r="L5" s="247"/>
      <c r="M5" s="248"/>
    </row>
    <row r="6" spans="3:18" s="536" customFormat="1" ht="18.75" customHeight="1">
      <c r="C6" s="553" t="s">
        <v>267</v>
      </c>
      <c r="D6" s="554" t="s">
        <v>411</v>
      </c>
      <c r="E6" s="554"/>
      <c r="F6" s="554" t="s">
        <v>412</v>
      </c>
      <c r="G6" s="554"/>
      <c r="H6" s="554" t="s">
        <v>118</v>
      </c>
      <c r="I6" s="554"/>
      <c r="J6" s="554" t="s">
        <v>413</v>
      </c>
      <c r="K6" s="554"/>
      <c r="L6" s="554" t="s">
        <v>414</v>
      </c>
      <c r="M6" s="554"/>
    </row>
    <row r="7" spans="3:18" s="536" customFormat="1" ht="36">
      <c r="C7" s="555"/>
      <c r="D7" s="556" t="str">
        <f>'Plazas Autorizadas tipología'!D5</f>
        <v>julio 2010</v>
      </c>
      <c r="E7" s="557" t="s">
        <v>415</v>
      </c>
      <c r="F7" s="558" t="str">
        <f>D7</f>
        <v>julio 2010</v>
      </c>
      <c r="G7" s="354" t="s">
        <v>415</v>
      </c>
      <c r="H7" s="223" t="str">
        <f>F7</f>
        <v>julio 2010</v>
      </c>
      <c r="I7" s="354" t="s">
        <v>415</v>
      </c>
      <c r="J7" s="223" t="str">
        <f>H7</f>
        <v>julio 2010</v>
      </c>
      <c r="K7" s="354" t="s">
        <v>415</v>
      </c>
      <c r="L7" s="223" t="str">
        <f>J7</f>
        <v>julio 2010</v>
      </c>
      <c r="M7" s="354" t="s">
        <v>415</v>
      </c>
    </row>
    <row r="8" spans="3:18">
      <c r="C8" s="559" t="s">
        <v>416</v>
      </c>
      <c r="D8" s="560">
        <f>'Plazas Autorizadas tipología'!D7</f>
        <v>47298</v>
      </c>
      <c r="E8" s="561">
        <f>D8/$D$39</f>
        <v>0.35199035520528676</v>
      </c>
      <c r="F8" s="560">
        <f>'Plazas Autorizadas tipología'!E7</f>
        <v>33818</v>
      </c>
      <c r="G8" s="562">
        <f>F8/$F$39</f>
        <v>0.41263101382432249</v>
      </c>
      <c r="H8" s="563">
        <f>'Plazas Autorizadas tipología'!F7</f>
        <v>13444</v>
      </c>
      <c r="I8" s="562">
        <f>H8/$H$39</f>
        <v>0.26274747395782438</v>
      </c>
      <c r="J8" s="563">
        <f>'Plazas Autorizadas tipología'!G7</f>
        <v>22</v>
      </c>
      <c r="K8" s="562">
        <f>J8/$J$39</f>
        <v>4.6511627906976744E-2</v>
      </c>
      <c r="L8" s="563">
        <f>'Plazas Autorizadas tipología'!H7</f>
        <v>14</v>
      </c>
      <c r="M8" s="564">
        <f t="shared" ref="M8:M23" si="0">L8/$L$39</f>
        <v>1.804123711340206E-2</v>
      </c>
      <c r="N8" s="565"/>
      <c r="O8" s="565"/>
    </row>
    <row r="9" spans="3:18">
      <c r="C9" s="566" t="s">
        <v>417</v>
      </c>
      <c r="D9" s="563">
        <f>'Plazas Autorizadas tipología'!D8</f>
        <v>17</v>
      </c>
      <c r="E9" s="562">
        <f>D9/$D$39</f>
        <v>1.2651351089876687E-4</v>
      </c>
      <c r="F9" s="563">
        <f>'Plazas Autorizadas tipología'!E8</f>
        <v>0</v>
      </c>
      <c r="G9" s="563">
        <f>'Plazas Autorizadas tipología'!F8</f>
        <v>0</v>
      </c>
      <c r="H9" s="563">
        <f>'Plazas Autorizadas tipología'!F8</f>
        <v>0</v>
      </c>
      <c r="I9" s="563">
        <f>'Plazas Autorizadas tipología'!G8</f>
        <v>0</v>
      </c>
      <c r="J9" s="563">
        <f>'Plazas Autorizadas tipología'!G8</f>
        <v>0</v>
      </c>
      <c r="K9" s="567" t="s">
        <v>216</v>
      </c>
      <c r="L9" s="563">
        <f>'Plazas Autorizadas tipología'!H8</f>
        <v>17</v>
      </c>
      <c r="M9" s="564">
        <f t="shared" si="0"/>
        <v>2.1907216494845359E-2</v>
      </c>
      <c r="N9" s="565"/>
      <c r="O9" s="565"/>
    </row>
    <row r="10" spans="3:18">
      <c r="C10" s="566" t="s">
        <v>418</v>
      </c>
      <c r="D10" s="563">
        <f>'Plazas Autorizadas tipología'!D9</f>
        <v>111</v>
      </c>
      <c r="E10" s="562">
        <f t="shared" ref="E10:E39" si="1">D10/$D$39</f>
        <v>8.2605880645665423E-4</v>
      </c>
      <c r="F10" s="563">
        <f>'Plazas Autorizadas tipología'!E9</f>
        <v>18</v>
      </c>
      <c r="G10" s="562">
        <f t="shared" ref="G10:G39" si="2">F10/$F$39</f>
        <v>2.1962736556975E-4</v>
      </c>
      <c r="H10" s="563">
        <f>'Plazas Autorizadas tipología'!F9</f>
        <v>20</v>
      </c>
      <c r="I10" s="562">
        <f t="shared" ref="I10:I39" si="3">H10/$H$39</f>
        <v>3.9087693239783452E-4</v>
      </c>
      <c r="J10" s="563">
        <f>'Plazas Autorizadas tipología'!G9</f>
        <v>0</v>
      </c>
      <c r="K10" s="567" t="s">
        <v>216</v>
      </c>
      <c r="L10" s="563">
        <f>'Plazas Autorizadas tipología'!H9</f>
        <v>73</v>
      </c>
      <c r="M10" s="564">
        <f t="shared" si="0"/>
        <v>9.4072164948453607E-2</v>
      </c>
      <c r="N10" s="565"/>
      <c r="O10" s="565"/>
    </row>
    <row r="11" spans="3:18">
      <c r="C11" s="566" t="s">
        <v>419</v>
      </c>
      <c r="D11" s="563">
        <f>'Plazas Autorizadas tipología'!D10</f>
        <v>39569</v>
      </c>
      <c r="E11" s="562">
        <f t="shared" si="1"/>
        <v>0.29447135957372389</v>
      </c>
      <c r="F11" s="563">
        <f>'Plazas Autorizadas tipología'!E10</f>
        <v>16604</v>
      </c>
      <c r="G11" s="562">
        <f t="shared" si="2"/>
        <v>0.20259404321778493</v>
      </c>
      <c r="H11" s="563">
        <f>'Plazas Autorizadas tipología'!F10</f>
        <v>22945</v>
      </c>
      <c r="I11" s="562">
        <f t="shared" si="3"/>
        <v>0.44843356069341567</v>
      </c>
      <c r="J11" s="563">
        <f>'Plazas Autorizadas tipología'!G10</f>
        <v>0</v>
      </c>
      <c r="K11" s="567" t="s">
        <v>216</v>
      </c>
      <c r="L11" s="563">
        <f>'Plazas Autorizadas tipología'!H10</f>
        <v>20</v>
      </c>
      <c r="M11" s="564">
        <f t="shared" si="0"/>
        <v>2.5773195876288658E-2</v>
      </c>
      <c r="N11" s="565"/>
      <c r="O11" s="565"/>
    </row>
    <row r="12" spans="3:18">
      <c r="C12" s="566" t="s">
        <v>420</v>
      </c>
      <c r="D12" s="563">
        <f>'Plazas Autorizadas tipología'!D11</f>
        <v>30</v>
      </c>
      <c r="E12" s="562">
        <f t="shared" si="1"/>
        <v>2.2325913688017683E-4</v>
      </c>
      <c r="F12" s="563">
        <f>'Plazas Autorizadas tipología'!E11</f>
        <v>0</v>
      </c>
      <c r="G12" s="563">
        <f>'Plazas Autorizadas tipología'!F11</f>
        <v>0</v>
      </c>
      <c r="H12" s="563">
        <f>'Plazas Autorizadas tipología'!F11</f>
        <v>0</v>
      </c>
      <c r="I12" s="563">
        <f>'Plazas Autorizadas tipología'!G11</f>
        <v>0</v>
      </c>
      <c r="J12" s="563">
        <f>'Plazas Autorizadas tipología'!G11</f>
        <v>0</v>
      </c>
      <c r="K12" s="567" t="s">
        <v>216</v>
      </c>
      <c r="L12" s="563">
        <f>'Plazas Autorizadas tipología'!H11</f>
        <v>30</v>
      </c>
      <c r="M12" s="564">
        <f t="shared" si="0"/>
        <v>3.8659793814432991E-2</v>
      </c>
      <c r="N12" s="565"/>
      <c r="O12" s="565"/>
    </row>
    <row r="13" spans="3:18">
      <c r="C13" s="566" t="s">
        <v>421</v>
      </c>
      <c r="D13" s="563">
        <f>'Plazas Autorizadas tipología'!D12</f>
        <v>1026</v>
      </c>
      <c r="E13" s="562">
        <f t="shared" si="1"/>
        <v>7.6354624813020477E-3</v>
      </c>
      <c r="F13" s="563">
        <f>'Plazas Autorizadas tipología'!E12</f>
        <v>986</v>
      </c>
      <c r="G13" s="562">
        <f t="shared" si="2"/>
        <v>1.2030699025098528E-2</v>
      </c>
      <c r="H13" s="563">
        <f>'Plazas Autorizadas tipología'!F12</f>
        <v>28</v>
      </c>
      <c r="I13" s="562">
        <f t="shared" si="3"/>
        <v>5.4722770535696832E-4</v>
      </c>
      <c r="J13" s="563">
        <f>'Plazas Autorizadas tipología'!G12</f>
        <v>0</v>
      </c>
      <c r="K13" s="567" t="s">
        <v>216</v>
      </c>
      <c r="L13" s="563">
        <f>'Plazas Autorizadas tipología'!H12</f>
        <v>12</v>
      </c>
      <c r="M13" s="564">
        <f t="shared" si="0"/>
        <v>1.5463917525773196E-2</v>
      </c>
      <c r="N13" s="565"/>
      <c r="O13" s="565"/>
    </row>
    <row r="14" spans="3:18">
      <c r="C14" s="566" t="s">
        <v>422</v>
      </c>
      <c r="D14" s="563">
        <f>'Plazas Autorizadas tipología'!D13</f>
        <v>20</v>
      </c>
      <c r="E14" s="562">
        <f t="shared" si="1"/>
        <v>1.4883942458678454E-4</v>
      </c>
      <c r="F14" s="563">
        <f>'Plazas Autorizadas tipología'!E13</f>
        <v>0</v>
      </c>
      <c r="G14" s="563">
        <f>'Plazas Autorizadas tipología'!F13</f>
        <v>0</v>
      </c>
      <c r="H14" s="563">
        <f>'Plazas Autorizadas tipología'!F13</f>
        <v>0</v>
      </c>
      <c r="I14" s="563">
        <f>'Plazas Autorizadas tipología'!G13</f>
        <v>0</v>
      </c>
      <c r="J14" s="563">
        <f>'Plazas Autorizadas tipología'!G13</f>
        <v>0</v>
      </c>
      <c r="K14" s="567" t="s">
        <v>216</v>
      </c>
      <c r="L14" s="563">
        <f>'Plazas Autorizadas tipología'!H13</f>
        <v>20</v>
      </c>
      <c r="M14" s="564">
        <f t="shared" si="0"/>
        <v>2.5773195876288658E-2</v>
      </c>
      <c r="N14" s="565"/>
      <c r="O14" s="565"/>
      <c r="P14" s="565"/>
      <c r="Q14" s="565"/>
      <c r="R14" s="565"/>
    </row>
    <row r="15" spans="3:18">
      <c r="C15" s="566" t="s">
        <v>423</v>
      </c>
      <c r="D15" s="563">
        <f>'Plazas Autorizadas tipología'!D14</f>
        <v>163</v>
      </c>
      <c r="E15" s="562">
        <f t="shared" si="1"/>
        <v>1.2130413103822941E-3</v>
      </c>
      <c r="F15" s="563">
        <f>'Plazas Autorizadas tipología'!E14</f>
        <v>46</v>
      </c>
      <c r="G15" s="562">
        <f t="shared" si="2"/>
        <v>5.6126993423380553E-4</v>
      </c>
      <c r="H15" s="563">
        <f>'Plazas Autorizadas tipología'!F14</f>
        <v>4</v>
      </c>
      <c r="I15" s="562">
        <f t="shared" si="3"/>
        <v>7.8175386479566912E-5</v>
      </c>
      <c r="J15" s="563">
        <f>'Plazas Autorizadas tipología'!G14</f>
        <v>78</v>
      </c>
      <c r="K15" s="562">
        <f>J15/$J$39</f>
        <v>0.16490486257928119</v>
      </c>
      <c r="L15" s="563">
        <f>'Plazas Autorizadas tipología'!H14</f>
        <v>35</v>
      </c>
      <c r="M15" s="564">
        <f t="shared" si="0"/>
        <v>4.5103092783505154E-2</v>
      </c>
      <c r="N15" s="565"/>
      <c r="O15" s="565"/>
      <c r="P15" s="565"/>
      <c r="Q15" s="565"/>
      <c r="R15" s="565"/>
    </row>
    <row r="16" spans="3:18">
      <c r="C16" s="566" t="s">
        <v>424</v>
      </c>
      <c r="D16" s="563">
        <f>'Plazas Autorizadas tipología'!D15</f>
        <v>1376</v>
      </c>
      <c r="E16" s="562">
        <f t="shared" si="1"/>
        <v>1.0240152411570776E-2</v>
      </c>
      <c r="F16" s="563">
        <f>'Plazas Autorizadas tipología'!E15</f>
        <v>930</v>
      </c>
      <c r="G16" s="562">
        <f t="shared" si="2"/>
        <v>1.1347413887770417E-2</v>
      </c>
      <c r="H16" s="563">
        <f>'Plazas Autorizadas tipología'!F15</f>
        <v>383</v>
      </c>
      <c r="I16" s="562">
        <f t="shared" si="3"/>
        <v>7.4852932554185314E-3</v>
      </c>
      <c r="J16" s="563">
        <f>'Plazas Autorizadas tipología'!G15</f>
        <v>0</v>
      </c>
      <c r="K16" s="562">
        <f>J16/$J$39</f>
        <v>0</v>
      </c>
      <c r="L16" s="563">
        <f>'Plazas Autorizadas tipología'!H15</f>
        <v>63</v>
      </c>
      <c r="M16" s="564">
        <f t="shared" si="0"/>
        <v>8.1185567010309281E-2</v>
      </c>
      <c r="N16" s="565"/>
      <c r="O16" s="565"/>
      <c r="P16" s="565"/>
      <c r="Q16" s="565"/>
      <c r="R16" s="565"/>
    </row>
    <row r="17" spans="3:18">
      <c r="C17" s="566" t="s">
        <v>425</v>
      </c>
      <c r="D17" s="563">
        <f>'Plazas Autorizadas tipología'!D16</f>
        <v>4</v>
      </c>
      <c r="E17" s="562">
        <f t="shared" si="1"/>
        <v>2.9767884917356909E-5</v>
      </c>
      <c r="F17" s="563">
        <f>'Plazas Autorizadas tipología'!E16</f>
        <v>0</v>
      </c>
      <c r="G17" s="563">
        <f>'Plazas Autorizadas tipología'!F16</f>
        <v>0</v>
      </c>
      <c r="H17" s="563">
        <f>'Plazas Autorizadas tipología'!F16</f>
        <v>0</v>
      </c>
      <c r="I17" s="563">
        <f>'Plazas Autorizadas tipología'!G16</f>
        <v>0</v>
      </c>
      <c r="J17" s="563">
        <f>'Plazas Autorizadas tipología'!G16</f>
        <v>0</v>
      </c>
      <c r="K17" s="567" t="s">
        <v>216</v>
      </c>
      <c r="L17" s="563">
        <f>'Plazas Autorizadas tipología'!H16</f>
        <v>4</v>
      </c>
      <c r="M17" s="564">
        <f t="shared" si="0"/>
        <v>5.1546391752577319E-3</v>
      </c>
      <c r="N17" s="565"/>
      <c r="O17" s="565"/>
      <c r="P17" s="565"/>
      <c r="Q17" s="565"/>
      <c r="R17" s="565"/>
    </row>
    <row r="18" spans="3:18">
      <c r="C18" s="566" t="s">
        <v>426</v>
      </c>
      <c r="D18" s="563">
        <f>'Plazas Autorizadas tipología'!D17</f>
        <v>2339</v>
      </c>
      <c r="E18" s="562">
        <f t="shared" si="1"/>
        <v>1.7406770705424453E-2</v>
      </c>
      <c r="F18" s="563">
        <f>'Plazas Autorizadas tipología'!E17</f>
        <v>2261</v>
      </c>
      <c r="G18" s="562">
        <f t="shared" si="2"/>
        <v>2.7587637419622484E-2</v>
      </c>
      <c r="H18" s="563">
        <f>'Plazas Autorizadas tipología'!F17</f>
        <v>30</v>
      </c>
      <c r="I18" s="562">
        <f t="shared" si="3"/>
        <v>5.8631539859675186E-4</v>
      </c>
      <c r="J18" s="563">
        <f>'Plazas Autorizadas tipología'!G17</f>
        <v>15</v>
      </c>
      <c r="K18" s="562">
        <f>J18/$J$39</f>
        <v>3.1712473572938688E-2</v>
      </c>
      <c r="L18" s="563">
        <f>'Plazas Autorizadas tipología'!H17</f>
        <v>33</v>
      </c>
      <c r="M18" s="564">
        <f t="shared" si="0"/>
        <v>4.252577319587629E-2</v>
      </c>
      <c r="N18" s="565"/>
      <c r="O18" s="565"/>
      <c r="P18" s="565"/>
      <c r="Q18" s="565"/>
      <c r="R18" s="565"/>
    </row>
    <row r="19" spans="3:18">
      <c r="C19" s="566" t="s">
        <v>427</v>
      </c>
      <c r="D19" s="563">
        <f>'Plazas Autorizadas tipología'!D18</f>
        <v>80</v>
      </c>
      <c r="E19" s="562">
        <f t="shared" si="1"/>
        <v>5.9535769834713817E-4</v>
      </c>
      <c r="F19" s="563">
        <f>'Plazas Autorizadas tipología'!E18</f>
        <v>0</v>
      </c>
      <c r="G19" s="563">
        <f>'Plazas Autorizadas tipología'!F18</f>
        <v>0</v>
      </c>
      <c r="H19" s="563">
        <f>'Plazas Autorizadas tipología'!F18</f>
        <v>0</v>
      </c>
      <c r="I19" s="567" t="s">
        <v>216</v>
      </c>
      <c r="J19" s="563">
        <f>'Plazas Autorizadas tipología'!G18</f>
        <v>65</v>
      </c>
      <c r="K19" s="562">
        <f>J19/$J$39</f>
        <v>0.13742071881606766</v>
      </c>
      <c r="L19" s="563">
        <f>'Plazas Autorizadas tipología'!H18</f>
        <v>15</v>
      </c>
      <c r="M19" s="564">
        <f t="shared" si="0"/>
        <v>1.9329896907216496E-2</v>
      </c>
      <c r="N19" s="565"/>
      <c r="O19" s="565"/>
      <c r="P19" s="565"/>
      <c r="Q19" s="565"/>
      <c r="R19" s="565"/>
    </row>
    <row r="20" spans="3:18">
      <c r="C20" s="566" t="s">
        <v>428</v>
      </c>
      <c r="D20" s="563">
        <f>'Plazas Autorizadas tipología'!D19</f>
        <v>97</v>
      </c>
      <c r="E20" s="562">
        <f t="shared" si="1"/>
        <v>7.2187120924590501E-4</v>
      </c>
      <c r="F20" s="563">
        <f>'Plazas Autorizadas tipología'!E19</f>
        <v>0</v>
      </c>
      <c r="G20" s="563">
        <f>'Plazas Autorizadas tipología'!F19</f>
        <v>0</v>
      </c>
      <c r="H20" s="563">
        <f>'Plazas Autorizadas tipología'!F19</f>
        <v>0</v>
      </c>
      <c r="I20" s="567" t="s">
        <v>216</v>
      </c>
      <c r="J20" s="563">
        <f>'Plazas Autorizadas tipología'!G19</f>
        <v>0</v>
      </c>
      <c r="K20" s="567" t="s">
        <v>216</v>
      </c>
      <c r="L20" s="563">
        <f>'Plazas Autorizadas tipología'!H19</f>
        <v>97</v>
      </c>
      <c r="M20" s="564">
        <f t="shared" si="0"/>
        <v>0.125</v>
      </c>
      <c r="N20" s="565"/>
      <c r="O20" s="565"/>
      <c r="P20" s="565"/>
      <c r="Q20" s="565"/>
      <c r="R20" s="565"/>
    </row>
    <row r="21" spans="3:18">
      <c r="C21" s="566" t="s">
        <v>429</v>
      </c>
      <c r="D21" s="563">
        <f>'Plazas Autorizadas tipología'!D20</f>
        <v>1173</v>
      </c>
      <c r="E21" s="562">
        <f t="shared" si="1"/>
        <v>8.7294322520149129E-3</v>
      </c>
      <c r="F21" s="563">
        <f>'Plazas Autorizadas tipología'!E20</f>
        <v>689</v>
      </c>
      <c r="G21" s="562">
        <f t="shared" si="2"/>
        <v>8.4068474931976531E-3</v>
      </c>
      <c r="H21" s="563">
        <f>'Plazas Autorizadas tipología'!F20</f>
        <v>414</v>
      </c>
      <c r="I21" s="562">
        <f t="shared" si="3"/>
        <v>8.0911525006351747E-3</v>
      </c>
      <c r="J21" s="563">
        <f>'Plazas Autorizadas tipología'!G20</f>
        <v>22</v>
      </c>
      <c r="K21" s="562">
        <f>J21/$J$39</f>
        <v>4.6511627906976744E-2</v>
      </c>
      <c r="L21" s="563">
        <f>'Plazas Autorizadas tipología'!H20</f>
        <v>48</v>
      </c>
      <c r="M21" s="564">
        <f t="shared" si="0"/>
        <v>6.1855670103092786E-2</v>
      </c>
      <c r="N21" s="565"/>
      <c r="O21" s="565"/>
      <c r="P21" s="565"/>
      <c r="Q21" s="565"/>
      <c r="R21" s="565"/>
    </row>
    <row r="22" spans="3:18">
      <c r="C22" s="566" t="s">
        <v>430</v>
      </c>
      <c r="D22" s="563">
        <f>'Plazas Autorizadas tipología'!D21</f>
        <v>24</v>
      </c>
      <c r="E22" s="562">
        <f t="shared" si="1"/>
        <v>1.7860730950414145E-4</v>
      </c>
      <c r="F22" s="563">
        <f>'Plazas Autorizadas tipología'!E21</f>
        <v>0</v>
      </c>
      <c r="G22" s="563">
        <f>'Plazas Autorizadas tipología'!F21</f>
        <v>0</v>
      </c>
      <c r="H22" s="563">
        <f>'Plazas Autorizadas tipología'!F21</f>
        <v>0</v>
      </c>
      <c r="I22" s="567" t="s">
        <v>216</v>
      </c>
      <c r="J22" s="563">
        <f>'Plazas Autorizadas tipología'!G21</f>
        <v>0</v>
      </c>
      <c r="K22" s="567" t="s">
        <v>216</v>
      </c>
      <c r="L22" s="563">
        <f>'Plazas Autorizadas tipología'!H21</f>
        <v>24</v>
      </c>
      <c r="M22" s="564">
        <f t="shared" si="0"/>
        <v>3.0927835051546393E-2</v>
      </c>
      <c r="N22" s="565"/>
      <c r="O22" s="565"/>
      <c r="P22" s="565"/>
      <c r="Q22" s="565"/>
      <c r="R22" s="565"/>
    </row>
    <row r="23" spans="3:18">
      <c r="C23" s="566" t="s">
        <v>431</v>
      </c>
      <c r="D23" s="563">
        <f>'Plazas Autorizadas tipología'!D22</f>
        <v>158</v>
      </c>
      <c r="E23" s="562">
        <f t="shared" si="1"/>
        <v>1.1758314542355979E-3</v>
      </c>
      <c r="F23" s="563">
        <f>'Plazas Autorizadas tipología'!E22</f>
        <v>67</v>
      </c>
      <c r="G23" s="562">
        <f t="shared" si="2"/>
        <v>8.1750186073184722E-4</v>
      </c>
      <c r="H23" s="563">
        <f>'Plazas Autorizadas tipología'!F22</f>
        <v>34</v>
      </c>
      <c r="I23" s="562">
        <f t="shared" si="3"/>
        <v>6.6449078507631874E-4</v>
      </c>
      <c r="J23" s="563">
        <f>'Plazas Autorizadas tipología'!G22</f>
        <v>28</v>
      </c>
      <c r="K23" s="562">
        <f>J23/$J$39</f>
        <v>5.9196617336152217E-2</v>
      </c>
      <c r="L23" s="563">
        <f>'Plazas Autorizadas tipología'!H22</f>
        <v>29</v>
      </c>
      <c r="M23" s="564">
        <f t="shared" si="0"/>
        <v>3.7371134020618556E-2</v>
      </c>
      <c r="N23" s="565"/>
      <c r="O23" s="565"/>
      <c r="P23" s="565"/>
      <c r="Q23" s="565"/>
      <c r="R23" s="565"/>
    </row>
    <row r="24" spans="3:18">
      <c r="C24" s="566" t="s">
        <v>432</v>
      </c>
      <c r="D24" s="563">
        <f>'Plazas Autorizadas tipología'!D23</f>
        <v>23028</v>
      </c>
      <c r="E24" s="562">
        <f t="shared" si="1"/>
        <v>0.17137371346922373</v>
      </c>
      <c r="F24" s="563">
        <f>'Plazas Autorizadas tipología'!E23</f>
        <v>16251</v>
      </c>
      <c r="G24" s="562">
        <f t="shared" si="2"/>
        <v>0.19828690654855596</v>
      </c>
      <c r="H24" s="563">
        <f>'Plazas Autorizadas tipología'!F23</f>
        <v>6777</v>
      </c>
      <c r="I24" s="562">
        <f t="shared" si="3"/>
        <v>0.13244864854300623</v>
      </c>
      <c r="J24" s="563">
        <f>'Plazas Autorizadas tipología'!G23</f>
        <v>0</v>
      </c>
      <c r="K24" s="567" t="s">
        <v>216</v>
      </c>
      <c r="L24" s="563">
        <f>'Plazas Autorizadas tipología'!H23</f>
        <v>0</v>
      </c>
      <c r="M24" s="568" t="s">
        <v>216</v>
      </c>
      <c r="N24" s="565"/>
      <c r="O24" s="565"/>
      <c r="P24" s="565"/>
      <c r="Q24" s="565"/>
      <c r="R24" s="565"/>
    </row>
    <row r="25" spans="3:18">
      <c r="C25" s="566" t="s">
        <v>433</v>
      </c>
      <c r="D25" s="563">
        <f>'Plazas Autorizadas tipología'!D24</f>
        <v>1880</v>
      </c>
      <c r="E25" s="562">
        <f t="shared" si="1"/>
        <v>1.3990905911157748E-2</v>
      </c>
      <c r="F25" s="563">
        <f>'Plazas Autorizadas tipología'!E24</f>
        <v>1355</v>
      </c>
      <c r="G25" s="562">
        <f t="shared" si="2"/>
        <v>1.6533060019278401E-2</v>
      </c>
      <c r="H25" s="563">
        <f>'Plazas Autorizadas tipología'!F24</f>
        <v>342</v>
      </c>
      <c r="I25" s="562">
        <f t="shared" si="3"/>
        <v>6.683995544002971E-3</v>
      </c>
      <c r="J25" s="563">
        <f>'Plazas Autorizadas tipología'!G24</f>
        <v>90</v>
      </c>
      <c r="K25" s="562">
        <f>J25/$J$39</f>
        <v>0.19027484143763213</v>
      </c>
      <c r="L25" s="563">
        <f>'Plazas Autorizadas tipología'!H24</f>
        <v>93</v>
      </c>
      <c r="M25" s="564">
        <f>L25/$L$39</f>
        <v>0.11984536082474227</v>
      </c>
      <c r="N25" s="565"/>
      <c r="O25" s="565"/>
      <c r="P25" s="565"/>
      <c r="Q25" s="565"/>
      <c r="R25" s="565"/>
    </row>
    <row r="26" spans="3:18">
      <c r="C26" s="566" t="s">
        <v>434</v>
      </c>
      <c r="D26" s="563">
        <f>'Plazas Autorizadas tipología'!D25</f>
        <v>77</v>
      </c>
      <c r="E26" s="562">
        <f t="shared" si="1"/>
        <v>5.7303178465912055E-4</v>
      </c>
      <c r="F26" s="563">
        <f>'Plazas Autorizadas tipología'!E25</f>
        <v>21</v>
      </c>
      <c r="G26" s="562">
        <f t="shared" si="2"/>
        <v>2.5623192649804164E-4</v>
      </c>
      <c r="H26" s="563">
        <f>'Plazas Autorizadas tipología'!F25</f>
        <v>7</v>
      </c>
      <c r="I26" s="562">
        <f t="shared" si="3"/>
        <v>1.3680692633924208E-4</v>
      </c>
      <c r="J26" s="563">
        <f>'Plazas Autorizadas tipología'!G25</f>
        <v>20</v>
      </c>
      <c r="K26" s="562">
        <f>J26/$J$39</f>
        <v>4.2283298097251586E-2</v>
      </c>
      <c r="L26" s="563">
        <f>'Plazas Autorizadas tipología'!H25</f>
        <v>29</v>
      </c>
      <c r="M26" s="564">
        <f>L26/$L$39</f>
        <v>3.7371134020618556E-2</v>
      </c>
      <c r="N26" s="565"/>
      <c r="O26" s="565"/>
      <c r="P26" s="565"/>
      <c r="Q26" s="565"/>
      <c r="R26" s="565"/>
    </row>
    <row r="27" spans="3:18">
      <c r="C27" s="566" t="s">
        <v>435</v>
      </c>
      <c r="D27" s="563">
        <f>'Plazas Autorizadas tipología'!D26</f>
        <v>23</v>
      </c>
      <c r="E27" s="562">
        <f t="shared" si="1"/>
        <v>1.7116533827480222E-4</v>
      </c>
      <c r="F27" s="563">
        <f>'Plazas Autorizadas tipología'!E26</f>
        <v>0</v>
      </c>
      <c r="G27" s="563">
        <f>'Plazas Autorizadas tipología'!F26</f>
        <v>0</v>
      </c>
      <c r="H27" s="563">
        <f>'Plazas Autorizadas tipología'!F26</f>
        <v>0</v>
      </c>
      <c r="I27" s="567" t="s">
        <v>216</v>
      </c>
      <c r="J27" s="563">
        <f>'Plazas Autorizadas tipología'!G26</f>
        <v>16</v>
      </c>
      <c r="K27" s="562">
        <f>J27/$J$39</f>
        <v>3.382663847780127E-2</v>
      </c>
      <c r="L27" s="563">
        <f>'Plazas Autorizadas tipología'!H26</f>
        <v>7</v>
      </c>
      <c r="M27" s="564">
        <f>L27/$L$39</f>
        <v>9.0206185567010301E-3</v>
      </c>
      <c r="N27" s="565"/>
      <c r="O27" s="565"/>
      <c r="P27" s="565"/>
      <c r="Q27" s="565"/>
      <c r="R27" s="565"/>
    </row>
    <row r="28" spans="3:18">
      <c r="C28" s="566" t="s">
        <v>436</v>
      </c>
      <c r="D28" s="563">
        <f>'Plazas Autorizadas tipología'!D27</f>
        <v>4538</v>
      </c>
      <c r="E28" s="562">
        <f t="shared" si="1"/>
        <v>3.3771665438741411E-2</v>
      </c>
      <c r="F28" s="563">
        <f>'Plazas Autorizadas tipología'!E27</f>
        <v>1688</v>
      </c>
      <c r="G28" s="562">
        <f t="shared" si="2"/>
        <v>2.0596166282318779E-2</v>
      </c>
      <c r="H28" s="563">
        <f>'Plazas Autorizadas tipología'!F27</f>
        <v>2790</v>
      </c>
      <c r="I28" s="562">
        <f t="shared" si="3"/>
        <v>5.4527332069497919E-2</v>
      </c>
      <c r="J28" s="563">
        <f>'Plazas Autorizadas tipología'!G27</f>
        <v>32</v>
      </c>
      <c r="K28" s="567" t="s">
        <v>216</v>
      </c>
      <c r="L28" s="563">
        <f>'Plazas Autorizadas tipología'!H27</f>
        <v>28</v>
      </c>
      <c r="M28" s="564">
        <f>L28/$L$39</f>
        <v>3.608247422680412E-2</v>
      </c>
      <c r="N28" s="565"/>
      <c r="O28" s="565"/>
      <c r="P28" s="565"/>
      <c r="Q28" s="565"/>
      <c r="R28" s="565"/>
    </row>
    <row r="29" spans="3:18">
      <c r="C29" s="566" t="s">
        <v>437</v>
      </c>
      <c r="D29" s="563">
        <f>'Plazas Autorizadas tipología'!D28</f>
        <v>2687</v>
      </c>
      <c r="E29" s="562">
        <f t="shared" si="1"/>
        <v>1.9996576693234503E-2</v>
      </c>
      <c r="F29" s="563">
        <f>'Plazas Autorizadas tipología'!E28</f>
        <v>2673</v>
      </c>
      <c r="G29" s="562">
        <f t="shared" si="2"/>
        <v>3.2614663787107874E-2</v>
      </c>
      <c r="H29" s="563">
        <f>'Plazas Autorizadas tipología'!F28</f>
        <v>6</v>
      </c>
      <c r="I29" s="562">
        <f t="shared" si="3"/>
        <v>1.1726307971935036E-4</v>
      </c>
      <c r="J29" s="563">
        <f>'Plazas Autorizadas tipología'!G28</f>
        <v>0</v>
      </c>
      <c r="K29" s="567" t="s">
        <v>216</v>
      </c>
      <c r="L29" s="563">
        <f>'Plazas Autorizadas tipología'!H28</f>
        <v>8</v>
      </c>
      <c r="M29" s="564">
        <f>L29/$L$39</f>
        <v>1.0309278350515464E-2</v>
      </c>
      <c r="N29" s="565"/>
      <c r="O29" s="565"/>
      <c r="P29" s="565"/>
      <c r="Q29" s="565"/>
      <c r="R29" s="565"/>
    </row>
    <row r="30" spans="3:18">
      <c r="C30" s="566" t="s">
        <v>438</v>
      </c>
      <c r="D30" s="563">
        <f>'Plazas Autorizadas tipología'!D29</f>
        <v>810</v>
      </c>
      <c r="E30" s="562">
        <f t="shared" si="1"/>
        <v>6.0279966957647738E-3</v>
      </c>
      <c r="F30" s="563">
        <f>'Plazas Autorizadas tipología'!E29</f>
        <v>804</v>
      </c>
      <c r="G30" s="562">
        <f t="shared" si="2"/>
        <v>9.8100223287821663E-3</v>
      </c>
      <c r="H30" s="563">
        <f>'Plazas Autorizadas tipología'!F29</f>
        <v>6</v>
      </c>
      <c r="I30" s="562">
        <f t="shared" si="3"/>
        <v>1.1726307971935036E-4</v>
      </c>
      <c r="J30" s="563">
        <f>'Plazas Autorizadas tipología'!G29</f>
        <v>0</v>
      </c>
      <c r="K30" s="567" t="s">
        <v>216</v>
      </c>
      <c r="L30" s="563">
        <f>'Plazas Autorizadas tipología'!H29</f>
        <v>0</v>
      </c>
      <c r="M30" s="568" t="s">
        <v>216</v>
      </c>
      <c r="N30" s="565"/>
      <c r="O30" s="565"/>
      <c r="P30" s="565"/>
      <c r="Q30" s="565"/>
      <c r="R30" s="565"/>
    </row>
    <row r="31" spans="3:18">
      <c r="C31" s="566" t="s">
        <v>439</v>
      </c>
      <c r="D31" s="563">
        <f>'Plazas Autorizadas tipología'!D30</f>
        <v>7277</v>
      </c>
      <c r="E31" s="562">
        <f t="shared" si="1"/>
        <v>5.4155224635901555E-2</v>
      </c>
      <c r="F31" s="563">
        <f>'Plazas Autorizadas tipología'!E30</f>
        <v>3635</v>
      </c>
      <c r="G31" s="562">
        <f t="shared" si="2"/>
        <v>4.4352526324780067E-2</v>
      </c>
      <c r="H31" s="563">
        <f>'Plazas Autorizadas tipología'!F30</f>
        <v>3642</v>
      </c>
      <c r="I31" s="562">
        <f t="shared" si="3"/>
        <v>7.1178689389645666E-2</v>
      </c>
      <c r="J31" s="563">
        <f>'Plazas Autorizadas tipología'!G30</f>
        <v>0</v>
      </c>
      <c r="K31" s="567" t="s">
        <v>216</v>
      </c>
      <c r="L31" s="563">
        <f>'Plazas Autorizadas tipología'!H30</f>
        <v>0</v>
      </c>
      <c r="M31" s="568" t="s">
        <v>216</v>
      </c>
      <c r="N31" s="565"/>
      <c r="O31" s="565"/>
      <c r="P31" s="565"/>
      <c r="Q31" s="565"/>
      <c r="R31" s="565"/>
    </row>
    <row r="32" spans="3:18">
      <c r="C32" s="566" t="s">
        <v>440</v>
      </c>
      <c r="D32" s="563">
        <f>'Plazas Autorizadas tipología'!D31</f>
        <v>18</v>
      </c>
      <c r="E32" s="562">
        <f t="shared" si="1"/>
        <v>1.339554821281061E-4</v>
      </c>
      <c r="F32" s="563">
        <f>'Plazas Autorizadas tipología'!E31</f>
        <v>14</v>
      </c>
      <c r="G32" s="562">
        <f t="shared" si="2"/>
        <v>1.7082128433202777E-4</v>
      </c>
      <c r="H32" s="563">
        <f>'Plazas Autorizadas tipología'!F31</f>
        <v>0</v>
      </c>
      <c r="I32" s="567" t="s">
        <v>216</v>
      </c>
      <c r="J32" s="563">
        <f>'Plazas Autorizadas tipología'!G31</f>
        <v>0</v>
      </c>
      <c r="K32" s="567" t="s">
        <v>216</v>
      </c>
      <c r="L32" s="563">
        <f>'Plazas Autorizadas tipología'!H31</f>
        <v>4</v>
      </c>
      <c r="M32" s="564">
        <f>L32/$L$39</f>
        <v>5.1546391752577319E-3</v>
      </c>
      <c r="N32" s="565"/>
      <c r="O32" s="565"/>
      <c r="P32" s="565"/>
      <c r="Q32" s="565"/>
      <c r="R32" s="565"/>
    </row>
    <row r="33" spans="3:18">
      <c r="C33" s="566" t="s">
        <v>441</v>
      </c>
      <c r="D33" s="563">
        <f>'Plazas Autorizadas tipología'!D32</f>
        <v>45</v>
      </c>
      <c r="E33" s="562">
        <f t="shared" si="1"/>
        <v>3.3488870532026523E-4</v>
      </c>
      <c r="F33" s="563">
        <f>'Plazas Autorizadas tipología'!E32</f>
        <v>0</v>
      </c>
      <c r="G33" s="563">
        <f>'Plazas Autorizadas tipología'!F32</f>
        <v>10</v>
      </c>
      <c r="H33" s="563">
        <f>'Plazas Autorizadas tipología'!F32</f>
        <v>10</v>
      </c>
      <c r="I33" s="562">
        <f t="shared" si="3"/>
        <v>1.9543846619891726E-4</v>
      </c>
      <c r="J33" s="563">
        <f>'Plazas Autorizadas tipología'!G32</f>
        <v>24</v>
      </c>
      <c r="K33" s="567" t="s">
        <v>216</v>
      </c>
      <c r="L33" s="563">
        <f>'Plazas Autorizadas tipología'!H32</f>
        <v>11</v>
      </c>
      <c r="M33" s="568" t="s">
        <v>216</v>
      </c>
      <c r="N33" s="565"/>
      <c r="O33" s="565"/>
      <c r="P33" s="565"/>
      <c r="Q33" s="565"/>
      <c r="R33" s="565"/>
    </row>
    <row r="34" spans="3:18">
      <c r="C34" s="566" t="s">
        <v>442</v>
      </c>
      <c r="D34" s="563">
        <f>'Plazas Autorizadas tipología'!D33</f>
        <v>296</v>
      </c>
      <c r="E34" s="562">
        <f t="shared" si="1"/>
        <v>2.2028234838844113E-3</v>
      </c>
      <c r="F34" s="563">
        <f>'Plazas Autorizadas tipología'!E33</f>
        <v>0</v>
      </c>
      <c r="G34" s="563">
        <f>'Plazas Autorizadas tipología'!F33</f>
        <v>272</v>
      </c>
      <c r="H34" s="563">
        <f>'Plazas Autorizadas tipología'!F33</f>
        <v>272</v>
      </c>
      <c r="I34" s="562">
        <f t="shared" si="3"/>
        <v>5.3159262806105499E-3</v>
      </c>
      <c r="J34" s="563">
        <f>'Plazas Autorizadas tipología'!G33</f>
        <v>0</v>
      </c>
      <c r="K34" s="567" t="s">
        <v>216</v>
      </c>
      <c r="L34" s="563">
        <f>'Plazas Autorizadas tipología'!H33</f>
        <v>24</v>
      </c>
      <c r="M34" s="564">
        <f>L34/$L$39</f>
        <v>3.0927835051546393E-2</v>
      </c>
      <c r="N34" s="565"/>
      <c r="O34" s="565"/>
      <c r="P34" s="565"/>
      <c r="Q34" s="565"/>
      <c r="R34" s="565"/>
    </row>
    <row r="35" spans="3:18">
      <c r="C35" s="566" t="s">
        <v>443</v>
      </c>
      <c r="D35" s="563">
        <f>'Plazas Autorizadas tipología'!D34</f>
        <v>24</v>
      </c>
      <c r="E35" s="562">
        <f t="shared" si="1"/>
        <v>1.7860730950414145E-4</v>
      </c>
      <c r="F35" s="563">
        <f>'Plazas Autorizadas tipología'!E34</f>
        <v>0</v>
      </c>
      <c r="G35" s="563">
        <f>'Plazas Autorizadas tipología'!F34</f>
        <v>0</v>
      </c>
      <c r="H35" s="563">
        <f>'Plazas Autorizadas tipología'!F34</f>
        <v>0</v>
      </c>
      <c r="I35" s="567" t="s">
        <v>216</v>
      </c>
      <c r="J35" s="563">
        <f>'Plazas Autorizadas tipología'!G34</f>
        <v>21</v>
      </c>
      <c r="K35" s="562">
        <f>J35/$J$39</f>
        <v>4.4397463002114168E-2</v>
      </c>
      <c r="L35" s="563">
        <f>'Plazas Autorizadas tipología'!H34</f>
        <v>3</v>
      </c>
      <c r="M35" s="568" t="s">
        <v>216</v>
      </c>
      <c r="N35" s="565"/>
      <c r="O35" s="565"/>
      <c r="P35" s="565"/>
      <c r="Q35" s="565"/>
      <c r="R35" s="565"/>
    </row>
    <row r="36" spans="3:18">
      <c r="C36" s="566" t="s">
        <v>444</v>
      </c>
      <c r="D36" s="563">
        <f>'Plazas Autorizadas tipología'!D35</f>
        <v>16</v>
      </c>
      <c r="E36" s="562">
        <f t="shared" si="1"/>
        <v>1.1907153966942763E-4</v>
      </c>
      <c r="F36" s="563">
        <f>'Plazas Autorizadas tipología'!E35</f>
        <v>0</v>
      </c>
      <c r="G36" s="563">
        <f>'Plazas Autorizadas tipología'!F35</f>
        <v>7</v>
      </c>
      <c r="H36" s="563">
        <f>'Plazas Autorizadas tipología'!F35</f>
        <v>7</v>
      </c>
      <c r="I36" s="562">
        <f t="shared" si="3"/>
        <v>1.3680692633924208E-4</v>
      </c>
      <c r="J36" s="563">
        <f>'Plazas Autorizadas tipología'!G35</f>
        <v>0</v>
      </c>
      <c r="K36" s="567" t="s">
        <v>216</v>
      </c>
      <c r="L36" s="563">
        <f>'Plazas Autorizadas tipología'!H35</f>
        <v>9</v>
      </c>
      <c r="M36" s="564">
        <f>L36/$L$39</f>
        <v>1.1597938144329897E-2</v>
      </c>
      <c r="N36" s="565"/>
      <c r="O36" s="565"/>
      <c r="P36" s="565"/>
      <c r="Q36" s="565"/>
      <c r="R36" s="565"/>
    </row>
    <row r="37" spans="3:18">
      <c r="C37" s="566" t="s">
        <v>445</v>
      </c>
      <c r="D37" s="563">
        <f>'Plazas Autorizadas tipología'!D36</f>
        <v>12</v>
      </c>
      <c r="E37" s="562">
        <f t="shared" si="1"/>
        <v>8.9303654752070726E-5</v>
      </c>
      <c r="F37" s="563">
        <f>'Plazas Autorizadas tipología'!E36</f>
        <v>0</v>
      </c>
      <c r="G37" s="563">
        <f>'Plazas Autorizadas tipología'!F36</f>
        <v>0</v>
      </c>
      <c r="H37" s="563">
        <f>'Plazas Autorizadas tipología'!F36</f>
        <v>0</v>
      </c>
      <c r="I37" s="567" t="s">
        <v>216</v>
      </c>
      <c r="J37" s="563">
        <f>'Plazas Autorizadas tipología'!G36</f>
        <v>0</v>
      </c>
      <c r="K37" s="567" t="s">
        <v>216</v>
      </c>
      <c r="L37" s="563">
        <f>'Plazas Autorizadas tipología'!H36</f>
        <v>12</v>
      </c>
      <c r="M37" s="564">
        <f>L37/$L$39</f>
        <v>1.5463917525773196E-2</v>
      </c>
      <c r="N37" s="565"/>
      <c r="O37" s="565"/>
      <c r="P37" s="565"/>
      <c r="Q37" s="565"/>
      <c r="R37" s="565"/>
    </row>
    <row r="38" spans="3:18">
      <c r="C38" s="566" t="s">
        <v>446</v>
      </c>
      <c r="D38" s="563">
        <f>'Plazas Autorizadas tipología'!D37</f>
        <v>157</v>
      </c>
      <c r="E38" s="562">
        <f t="shared" si="1"/>
        <v>1.1683894830062586E-3</v>
      </c>
      <c r="F38" s="563">
        <f>'Plazas Autorizadas tipología'!E37</f>
        <v>97</v>
      </c>
      <c r="G38" s="562">
        <f t="shared" si="2"/>
        <v>1.1835474700147639E-3</v>
      </c>
      <c r="H38" s="563">
        <f>'Plazas Autorizadas tipología'!F37</f>
        <v>6</v>
      </c>
      <c r="I38" s="562">
        <f t="shared" si="3"/>
        <v>1.1726307971935036E-4</v>
      </c>
      <c r="J38" s="563">
        <f>'Plazas Autorizadas tipología'!G37</f>
        <v>40</v>
      </c>
      <c r="K38" s="562">
        <f>J38/$J$39</f>
        <v>8.4566596194503171E-2</v>
      </c>
      <c r="L38" s="563">
        <f>'Plazas Autorizadas tipología'!H37</f>
        <v>14</v>
      </c>
      <c r="M38" s="564">
        <f>L38/$L$39</f>
        <v>1.804123711340206E-2</v>
      </c>
      <c r="N38" s="565"/>
      <c r="O38" s="565"/>
      <c r="P38" s="565"/>
      <c r="Q38" s="565"/>
      <c r="R38" s="565"/>
    </row>
    <row r="39" spans="3:18">
      <c r="C39" s="569" t="s">
        <v>447</v>
      </c>
      <c r="D39" s="570">
        <f>'Plazas Autorizadas tipología'!D38</f>
        <v>134373</v>
      </c>
      <c r="E39" s="571">
        <f t="shared" si="1"/>
        <v>1</v>
      </c>
      <c r="F39" s="570">
        <f>'Plazas Autorizadas tipología'!E38</f>
        <v>81957</v>
      </c>
      <c r="G39" s="572">
        <f t="shared" si="2"/>
        <v>1</v>
      </c>
      <c r="H39" s="570">
        <f>'Plazas Autorizadas tipología'!F38</f>
        <v>51167</v>
      </c>
      <c r="I39" s="572">
        <f t="shared" si="3"/>
        <v>1</v>
      </c>
      <c r="J39" s="570">
        <f>'Plazas Autorizadas tipología'!G38</f>
        <v>473</v>
      </c>
      <c r="K39" s="572">
        <f>J39/$J$39</f>
        <v>1</v>
      </c>
      <c r="L39" s="570">
        <f>'Plazas Autorizadas tipología'!H38</f>
        <v>776</v>
      </c>
      <c r="M39" s="573">
        <f>L39/$L$39</f>
        <v>1</v>
      </c>
    </row>
    <row r="40" spans="3:18" ht="21.75" customHeight="1">
      <c r="C40" s="574" t="s">
        <v>448</v>
      </c>
      <c r="D40" s="575"/>
      <c r="E40" s="576"/>
      <c r="F40" s="575"/>
      <c r="G40" s="576"/>
      <c r="H40" s="576"/>
      <c r="I40" s="576"/>
      <c r="J40" s="576"/>
      <c r="K40" s="576"/>
      <c r="L40" s="576"/>
      <c r="M40" s="577"/>
    </row>
    <row r="41" spans="3:18">
      <c r="C41" s="578" t="s">
        <v>449</v>
      </c>
    </row>
  </sheetData>
  <mergeCells count="8">
    <mergeCell ref="C40:M40"/>
    <mergeCell ref="C5:M5"/>
    <mergeCell ref="C6:C7"/>
    <mergeCell ref="D6:E6"/>
    <mergeCell ref="F6:G6"/>
    <mergeCell ref="H6:I6"/>
    <mergeCell ref="J6:K6"/>
    <mergeCell ref="L6:M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colBreaks count="1" manualBreakCount="1">
    <brk id="13" max="39" man="1"/>
  </colBreaks>
  <drawing r:id="rId2"/>
  <legacyDrawingHF r:id="rId3"/>
</worksheet>
</file>

<file path=xl/worksheets/sheet102.xml><?xml version="1.0" encoding="utf-8"?>
<worksheet xmlns="http://schemas.openxmlformats.org/spreadsheetml/2006/main" xmlns:r="http://schemas.openxmlformats.org/officeDocument/2006/relationships">
  <sheetPr codeName="Hoja42">
    <tabColor rgb="FF000099"/>
    <pageSetUpPr autoPageBreaks="0" fitToPage="1"/>
  </sheetPr>
  <dimension ref="C6:K63"/>
  <sheetViews>
    <sheetView showGridLines="0" showRowColHeaders="0" showOutlineSymbols="0" zoomScaleNormal="100" workbookViewId="0">
      <selection activeCell="B25" sqref="B25"/>
    </sheetView>
  </sheetViews>
  <sheetFormatPr baseColWidth="10" defaultColWidth="16.5703125" defaultRowHeight="12.75"/>
  <cols>
    <col min="1" max="2" width="14.28515625" style="535" customWidth="1"/>
    <col min="3" max="3" width="25.7109375" style="535" customWidth="1"/>
    <col min="4" max="5" width="13.7109375" style="535" customWidth="1"/>
    <col min="6" max="6" width="9.7109375" style="535" customWidth="1"/>
    <col min="7" max="7" width="25.7109375" style="535" customWidth="1"/>
    <col min="8" max="9" width="13.7109375" style="535" customWidth="1"/>
    <col min="10" max="256" width="16.5703125" style="535"/>
    <col min="257" max="258" width="14.28515625" style="535" customWidth="1"/>
    <col min="259" max="259" width="25.7109375" style="535" customWidth="1"/>
    <col min="260" max="260" width="13.85546875" style="535" customWidth="1"/>
    <col min="261" max="261" width="13.7109375" style="535" customWidth="1"/>
    <col min="262" max="264" width="9.7109375" style="535" customWidth="1"/>
    <col min="265" max="512" width="16.5703125" style="535"/>
    <col min="513" max="514" width="14.28515625" style="535" customWidth="1"/>
    <col min="515" max="515" width="25.7109375" style="535" customWidth="1"/>
    <col min="516" max="516" width="13.85546875" style="535" customWidth="1"/>
    <col min="517" max="517" width="13.7109375" style="535" customWidth="1"/>
    <col min="518" max="520" width="9.7109375" style="535" customWidth="1"/>
    <col min="521" max="768" width="16.5703125" style="535"/>
    <col min="769" max="770" width="14.28515625" style="535" customWidth="1"/>
    <col min="771" max="771" width="25.7109375" style="535" customWidth="1"/>
    <col min="772" max="772" width="13.85546875" style="535" customWidth="1"/>
    <col min="773" max="773" width="13.7109375" style="535" customWidth="1"/>
    <col min="774" max="776" width="9.7109375" style="535" customWidth="1"/>
    <col min="777" max="1024" width="16.5703125" style="535"/>
    <col min="1025" max="1026" width="14.28515625" style="535" customWidth="1"/>
    <col min="1027" max="1027" width="25.7109375" style="535" customWidth="1"/>
    <col min="1028" max="1028" width="13.85546875" style="535" customWidth="1"/>
    <col min="1029" max="1029" width="13.7109375" style="535" customWidth="1"/>
    <col min="1030" max="1032" width="9.7109375" style="535" customWidth="1"/>
    <col min="1033" max="1280" width="16.5703125" style="535"/>
    <col min="1281" max="1282" width="14.28515625" style="535" customWidth="1"/>
    <col min="1283" max="1283" width="25.7109375" style="535" customWidth="1"/>
    <col min="1284" max="1284" width="13.85546875" style="535" customWidth="1"/>
    <col min="1285" max="1285" width="13.7109375" style="535" customWidth="1"/>
    <col min="1286" max="1288" width="9.7109375" style="535" customWidth="1"/>
    <col min="1289" max="1536" width="16.5703125" style="535"/>
    <col min="1537" max="1538" width="14.28515625" style="535" customWidth="1"/>
    <col min="1539" max="1539" width="25.7109375" style="535" customWidth="1"/>
    <col min="1540" max="1540" width="13.85546875" style="535" customWidth="1"/>
    <col min="1541" max="1541" width="13.7109375" style="535" customWidth="1"/>
    <col min="1542" max="1544" width="9.7109375" style="535" customWidth="1"/>
    <col min="1545" max="1792" width="16.5703125" style="535"/>
    <col min="1793" max="1794" width="14.28515625" style="535" customWidth="1"/>
    <col min="1795" max="1795" width="25.7109375" style="535" customWidth="1"/>
    <col min="1796" max="1796" width="13.85546875" style="535" customWidth="1"/>
    <col min="1797" max="1797" width="13.7109375" style="535" customWidth="1"/>
    <col min="1798" max="1800" width="9.7109375" style="535" customWidth="1"/>
    <col min="1801" max="2048" width="16.5703125" style="535"/>
    <col min="2049" max="2050" width="14.28515625" style="535" customWidth="1"/>
    <col min="2051" max="2051" width="25.7109375" style="535" customWidth="1"/>
    <col min="2052" max="2052" width="13.85546875" style="535" customWidth="1"/>
    <col min="2053" max="2053" width="13.7109375" style="535" customWidth="1"/>
    <col min="2054" max="2056" width="9.7109375" style="535" customWidth="1"/>
    <col min="2057" max="2304" width="16.5703125" style="535"/>
    <col min="2305" max="2306" width="14.28515625" style="535" customWidth="1"/>
    <col min="2307" max="2307" width="25.7109375" style="535" customWidth="1"/>
    <col min="2308" max="2308" width="13.85546875" style="535" customWidth="1"/>
    <col min="2309" max="2309" width="13.7109375" style="535" customWidth="1"/>
    <col min="2310" max="2312" width="9.7109375" style="535" customWidth="1"/>
    <col min="2313" max="2560" width="16.5703125" style="535"/>
    <col min="2561" max="2562" width="14.28515625" style="535" customWidth="1"/>
    <col min="2563" max="2563" width="25.7109375" style="535" customWidth="1"/>
    <col min="2564" max="2564" width="13.85546875" style="535" customWidth="1"/>
    <col min="2565" max="2565" width="13.7109375" style="535" customWidth="1"/>
    <col min="2566" max="2568" width="9.7109375" style="535" customWidth="1"/>
    <col min="2569" max="2816" width="16.5703125" style="535"/>
    <col min="2817" max="2818" width="14.28515625" style="535" customWidth="1"/>
    <col min="2819" max="2819" width="25.7109375" style="535" customWidth="1"/>
    <col min="2820" max="2820" width="13.85546875" style="535" customWidth="1"/>
    <col min="2821" max="2821" width="13.7109375" style="535" customWidth="1"/>
    <col min="2822" max="2824" width="9.7109375" style="535" customWidth="1"/>
    <col min="2825" max="3072" width="16.5703125" style="535"/>
    <col min="3073" max="3074" width="14.28515625" style="535" customWidth="1"/>
    <col min="3075" max="3075" width="25.7109375" style="535" customWidth="1"/>
    <col min="3076" max="3076" width="13.85546875" style="535" customWidth="1"/>
    <col min="3077" max="3077" width="13.7109375" style="535" customWidth="1"/>
    <col min="3078" max="3080" width="9.7109375" style="535" customWidth="1"/>
    <col min="3081" max="3328" width="16.5703125" style="535"/>
    <col min="3329" max="3330" width="14.28515625" style="535" customWidth="1"/>
    <col min="3331" max="3331" width="25.7109375" style="535" customWidth="1"/>
    <col min="3332" max="3332" width="13.85546875" style="535" customWidth="1"/>
    <col min="3333" max="3333" width="13.7109375" style="535" customWidth="1"/>
    <col min="3334" max="3336" width="9.7109375" style="535" customWidth="1"/>
    <col min="3337" max="3584" width="16.5703125" style="535"/>
    <col min="3585" max="3586" width="14.28515625" style="535" customWidth="1"/>
    <col min="3587" max="3587" width="25.7109375" style="535" customWidth="1"/>
    <col min="3588" max="3588" width="13.85546875" style="535" customWidth="1"/>
    <col min="3589" max="3589" width="13.7109375" style="535" customWidth="1"/>
    <col min="3590" max="3592" width="9.7109375" style="535" customWidth="1"/>
    <col min="3593" max="3840" width="16.5703125" style="535"/>
    <col min="3841" max="3842" width="14.28515625" style="535" customWidth="1"/>
    <col min="3843" max="3843" width="25.7109375" style="535" customWidth="1"/>
    <col min="3844" max="3844" width="13.85546875" style="535" customWidth="1"/>
    <col min="3845" max="3845" width="13.7109375" style="535" customWidth="1"/>
    <col min="3846" max="3848" width="9.7109375" style="535" customWidth="1"/>
    <col min="3849" max="4096" width="16.5703125" style="535"/>
    <col min="4097" max="4098" width="14.28515625" style="535" customWidth="1"/>
    <col min="4099" max="4099" width="25.7109375" style="535" customWidth="1"/>
    <col min="4100" max="4100" width="13.85546875" style="535" customWidth="1"/>
    <col min="4101" max="4101" width="13.7109375" style="535" customWidth="1"/>
    <col min="4102" max="4104" width="9.7109375" style="535" customWidth="1"/>
    <col min="4105" max="4352" width="16.5703125" style="535"/>
    <col min="4353" max="4354" width="14.28515625" style="535" customWidth="1"/>
    <col min="4355" max="4355" width="25.7109375" style="535" customWidth="1"/>
    <col min="4356" max="4356" width="13.85546875" style="535" customWidth="1"/>
    <col min="4357" max="4357" width="13.7109375" style="535" customWidth="1"/>
    <col min="4358" max="4360" width="9.7109375" style="535" customWidth="1"/>
    <col min="4361" max="4608" width="16.5703125" style="535"/>
    <col min="4609" max="4610" width="14.28515625" style="535" customWidth="1"/>
    <col min="4611" max="4611" width="25.7109375" style="535" customWidth="1"/>
    <col min="4612" max="4612" width="13.85546875" style="535" customWidth="1"/>
    <col min="4613" max="4613" width="13.7109375" style="535" customWidth="1"/>
    <col min="4614" max="4616" width="9.7109375" style="535" customWidth="1"/>
    <col min="4617" max="4864" width="16.5703125" style="535"/>
    <col min="4865" max="4866" width="14.28515625" style="535" customWidth="1"/>
    <col min="4867" max="4867" width="25.7109375" style="535" customWidth="1"/>
    <col min="4868" max="4868" width="13.85546875" style="535" customWidth="1"/>
    <col min="4869" max="4869" width="13.7109375" style="535" customWidth="1"/>
    <col min="4870" max="4872" width="9.7109375" style="535" customWidth="1"/>
    <col min="4873" max="5120" width="16.5703125" style="535"/>
    <col min="5121" max="5122" width="14.28515625" style="535" customWidth="1"/>
    <col min="5123" max="5123" width="25.7109375" style="535" customWidth="1"/>
    <col min="5124" max="5124" width="13.85546875" style="535" customWidth="1"/>
    <col min="5125" max="5125" width="13.7109375" style="535" customWidth="1"/>
    <col min="5126" max="5128" width="9.7109375" style="535" customWidth="1"/>
    <col min="5129" max="5376" width="16.5703125" style="535"/>
    <col min="5377" max="5378" width="14.28515625" style="535" customWidth="1"/>
    <col min="5379" max="5379" width="25.7109375" style="535" customWidth="1"/>
    <col min="5380" max="5380" width="13.85546875" style="535" customWidth="1"/>
    <col min="5381" max="5381" width="13.7109375" style="535" customWidth="1"/>
    <col min="5382" max="5384" width="9.7109375" style="535" customWidth="1"/>
    <col min="5385" max="5632" width="16.5703125" style="535"/>
    <col min="5633" max="5634" width="14.28515625" style="535" customWidth="1"/>
    <col min="5635" max="5635" width="25.7109375" style="535" customWidth="1"/>
    <col min="5636" max="5636" width="13.85546875" style="535" customWidth="1"/>
    <col min="5637" max="5637" width="13.7109375" style="535" customWidth="1"/>
    <col min="5638" max="5640" width="9.7109375" style="535" customWidth="1"/>
    <col min="5641" max="5888" width="16.5703125" style="535"/>
    <col min="5889" max="5890" width="14.28515625" style="535" customWidth="1"/>
    <col min="5891" max="5891" width="25.7109375" style="535" customWidth="1"/>
    <col min="5892" max="5892" width="13.85546875" style="535" customWidth="1"/>
    <col min="5893" max="5893" width="13.7109375" style="535" customWidth="1"/>
    <col min="5894" max="5896" width="9.7109375" style="535" customWidth="1"/>
    <col min="5897" max="6144" width="16.5703125" style="535"/>
    <col min="6145" max="6146" width="14.28515625" style="535" customWidth="1"/>
    <col min="6147" max="6147" width="25.7109375" style="535" customWidth="1"/>
    <col min="6148" max="6148" width="13.85546875" style="535" customWidth="1"/>
    <col min="6149" max="6149" width="13.7109375" style="535" customWidth="1"/>
    <col min="6150" max="6152" width="9.7109375" style="535" customWidth="1"/>
    <col min="6153" max="6400" width="16.5703125" style="535"/>
    <col min="6401" max="6402" width="14.28515625" style="535" customWidth="1"/>
    <col min="6403" max="6403" width="25.7109375" style="535" customWidth="1"/>
    <col min="6404" max="6404" width="13.85546875" style="535" customWidth="1"/>
    <col min="6405" max="6405" width="13.7109375" style="535" customWidth="1"/>
    <col min="6406" max="6408" width="9.7109375" style="535" customWidth="1"/>
    <col min="6409" max="6656" width="16.5703125" style="535"/>
    <col min="6657" max="6658" width="14.28515625" style="535" customWidth="1"/>
    <col min="6659" max="6659" width="25.7109375" style="535" customWidth="1"/>
    <col min="6660" max="6660" width="13.85546875" style="535" customWidth="1"/>
    <col min="6661" max="6661" width="13.7109375" style="535" customWidth="1"/>
    <col min="6662" max="6664" width="9.7109375" style="535" customWidth="1"/>
    <col min="6665" max="6912" width="16.5703125" style="535"/>
    <col min="6913" max="6914" width="14.28515625" style="535" customWidth="1"/>
    <col min="6915" max="6915" width="25.7109375" style="535" customWidth="1"/>
    <col min="6916" max="6916" width="13.85546875" style="535" customWidth="1"/>
    <col min="6917" max="6917" width="13.7109375" style="535" customWidth="1"/>
    <col min="6918" max="6920" width="9.7109375" style="535" customWidth="1"/>
    <col min="6921" max="7168" width="16.5703125" style="535"/>
    <col min="7169" max="7170" width="14.28515625" style="535" customWidth="1"/>
    <col min="7171" max="7171" width="25.7109375" style="535" customWidth="1"/>
    <col min="7172" max="7172" width="13.85546875" style="535" customWidth="1"/>
    <col min="7173" max="7173" width="13.7109375" style="535" customWidth="1"/>
    <col min="7174" max="7176" width="9.7109375" style="535" customWidth="1"/>
    <col min="7177" max="7424" width="16.5703125" style="535"/>
    <col min="7425" max="7426" width="14.28515625" style="535" customWidth="1"/>
    <col min="7427" max="7427" width="25.7109375" style="535" customWidth="1"/>
    <col min="7428" max="7428" width="13.85546875" style="535" customWidth="1"/>
    <col min="7429" max="7429" width="13.7109375" style="535" customWidth="1"/>
    <col min="7430" max="7432" width="9.7109375" style="535" customWidth="1"/>
    <col min="7433" max="7680" width="16.5703125" style="535"/>
    <col min="7681" max="7682" width="14.28515625" style="535" customWidth="1"/>
    <col min="7683" max="7683" width="25.7109375" style="535" customWidth="1"/>
    <col min="7684" max="7684" width="13.85546875" style="535" customWidth="1"/>
    <col min="7685" max="7685" width="13.7109375" style="535" customWidth="1"/>
    <col min="7686" max="7688" width="9.7109375" style="535" customWidth="1"/>
    <col min="7689" max="7936" width="16.5703125" style="535"/>
    <col min="7937" max="7938" width="14.28515625" style="535" customWidth="1"/>
    <col min="7939" max="7939" width="25.7109375" style="535" customWidth="1"/>
    <col min="7940" max="7940" width="13.85546875" style="535" customWidth="1"/>
    <col min="7941" max="7941" width="13.7109375" style="535" customWidth="1"/>
    <col min="7942" max="7944" width="9.7109375" style="535" customWidth="1"/>
    <col min="7945" max="8192" width="16.5703125" style="535"/>
    <col min="8193" max="8194" width="14.28515625" style="535" customWidth="1"/>
    <col min="8195" max="8195" width="25.7109375" style="535" customWidth="1"/>
    <col min="8196" max="8196" width="13.85546875" style="535" customWidth="1"/>
    <col min="8197" max="8197" width="13.7109375" style="535" customWidth="1"/>
    <col min="8198" max="8200" width="9.7109375" style="535" customWidth="1"/>
    <col min="8201" max="8448" width="16.5703125" style="535"/>
    <col min="8449" max="8450" width="14.28515625" style="535" customWidth="1"/>
    <col min="8451" max="8451" width="25.7109375" style="535" customWidth="1"/>
    <col min="8452" max="8452" width="13.85546875" style="535" customWidth="1"/>
    <col min="8453" max="8453" width="13.7109375" style="535" customWidth="1"/>
    <col min="8454" max="8456" width="9.7109375" style="535" customWidth="1"/>
    <col min="8457" max="8704" width="16.5703125" style="535"/>
    <col min="8705" max="8706" width="14.28515625" style="535" customWidth="1"/>
    <col min="8707" max="8707" width="25.7109375" style="535" customWidth="1"/>
    <col min="8708" max="8708" width="13.85546875" style="535" customWidth="1"/>
    <col min="8709" max="8709" width="13.7109375" style="535" customWidth="1"/>
    <col min="8710" max="8712" width="9.7109375" style="535" customWidth="1"/>
    <col min="8713" max="8960" width="16.5703125" style="535"/>
    <col min="8961" max="8962" width="14.28515625" style="535" customWidth="1"/>
    <col min="8963" max="8963" width="25.7109375" style="535" customWidth="1"/>
    <col min="8964" max="8964" width="13.85546875" style="535" customWidth="1"/>
    <col min="8965" max="8965" width="13.7109375" style="535" customWidth="1"/>
    <col min="8966" max="8968" width="9.7109375" style="535" customWidth="1"/>
    <col min="8969" max="9216" width="16.5703125" style="535"/>
    <col min="9217" max="9218" width="14.28515625" style="535" customWidth="1"/>
    <col min="9219" max="9219" width="25.7109375" style="535" customWidth="1"/>
    <col min="9220" max="9220" width="13.85546875" style="535" customWidth="1"/>
    <col min="9221" max="9221" width="13.7109375" style="535" customWidth="1"/>
    <col min="9222" max="9224" width="9.7109375" style="535" customWidth="1"/>
    <col min="9225" max="9472" width="16.5703125" style="535"/>
    <col min="9473" max="9474" width="14.28515625" style="535" customWidth="1"/>
    <col min="9475" max="9475" width="25.7109375" style="535" customWidth="1"/>
    <col min="9476" max="9476" width="13.85546875" style="535" customWidth="1"/>
    <col min="9477" max="9477" width="13.7109375" style="535" customWidth="1"/>
    <col min="9478" max="9480" width="9.7109375" style="535" customWidth="1"/>
    <col min="9481" max="9728" width="16.5703125" style="535"/>
    <col min="9729" max="9730" width="14.28515625" style="535" customWidth="1"/>
    <col min="9731" max="9731" width="25.7109375" style="535" customWidth="1"/>
    <col min="9732" max="9732" width="13.85546875" style="535" customWidth="1"/>
    <col min="9733" max="9733" width="13.7109375" style="535" customWidth="1"/>
    <col min="9734" max="9736" width="9.7109375" style="535" customWidth="1"/>
    <col min="9737" max="9984" width="16.5703125" style="535"/>
    <col min="9985" max="9986" width="14.28515625" style="535" customWidth="1"/>
    <col min="9987" max="9987" width="25.7109375" style="535" customWidth="1"/>
    <col min="9988" max="9988" width="13.85546875" style="535" customWidth="1"/>
    <col min="9989" max="9989" width="13.7109375" style="535" customWidth="1"/>
    <col min="9990" max="9992" width="9.7109375" style="535" customWidth="1"/>
    <col min="9993" max="10240" width="16.5703125" style="535"/>
    <col min="10241" max="10242" width="14.28515625" style="535" customWidth="1"/>
    <col min="10243" max="10243" width="25.7109375" style="535" customWidth="1"/>
    <col min="10244" max="10244" width="13.85546875" style="535" customWidth="1"/>
    <col min="10245" max="10245" width="13.7109375" style="535" customWidth="1"/>
    <col min="10246" max="10248" width="9.7109375" style="535" customWidth="1"/>
    <col min="10249" max="10496" width="16.5703125" style="535"/>
    <col min="10497" max="10498" width="14.28515625" style="535" customWidth="1"/>
    <col min="10499" max="10499" width="25.7109375" style="535" customWidth="1"/>
    <col min="10500" max="10500" width="13.85546875" style="535" customWidth="1"/>
    <col min="10501" max="10501" width="13.7109375" style="535" customWidth="1"/>
    <col min="10502" max="10504" width="9.7109375" style="535" customWidth="1"/>
    <col min="10505" max="10752" width="16.5703125" style="535"/>
    <col min="10753" max="10754" width="14.28515625" style="535" customWidth="1"/>
    <col min="10755" max="10755" width="25.7109375" style="535" customWidth="1"/>
    <col min="10756" max="10756" width="13.85546875" style="535" customWidth="1"/>
    <col min="10757" max="10757" width="13.7109375" style="535" customWidth="1"/>
    <col min="10758" max="10760" width="9.7109375" style="535" customWidth="1"/>
    <col min="10761" max="11008" width="16.5703125" style="535"/>
    <col min="11009" max="11010" width="14.28515625" style="535" customWidth="1"/>
    <col min="11011" max="11011" width="25.7109375" style="535" customWidth="1"/>
    <col min="11012" max="11012" width="13.85546875" style="535" customWidth="1"/>
    <col min="11013" max="11013" width="13.7109375" style="535" customWidth="1"/>
    <col min="11014" max="11016" width="9.7109375" style="535" customWidth="1"/>
    <col min="11017" max="11264" width="16.5703125" style="535"/>
    <col min="11265" max="11266" width="14.28515625" style="535" customWidth="1"/>
    <col min="11267" max="11267" width="25.7109375" style="535" customWidth="1"/>
    <col min="11268" max="11268" width="13.85546875" style="535" customWidth="1"/>
    <col min="11269" max="11269" width="13.7109375" style="535" customWidth="1"/>
    <col min="11270" max="11272" width="9.7109375" style="535" customWidth="1"/>
    <col min="11273" max="11520" width="16.5703125" style="535"/>
    <col min="11521" max="11522" width="14.28515625" style="535" customWidth="1"/>
    <col min="11523" max="11523" width="25.7109375" style="535" customWidth="1"/>
    <col min="11524" max="11524" width="13.85546875" style="535" customWidth="1"/>
    <col min="11525" max="11525" width="13.7109375" style="535" customWidth="1"/>
    <col min="11526" max="11528" width="9.7109375" style="535" customWidth="1"/>
    <col min="11529" max="11776" width="16.5703125" style="535"/>
    <col min="11777" max="11778" width="14.28515625" style="535" customWidth="1"/>
    <col min="11779" max="11779" width="25.7109375" style="535" customWidth="1"/>
    <col min="11780" max="11780" width="13.85546875" style="535" customWidth="1"/>
    <col min="11781" max="11781" width="13.7109375" style="535" customWidth="1"/>
    <col min="11782" max="11784" width="9.7109375" style="535" customWidth="1"/>
    <col min="11785" max="12032" width="16.5703125" style="535"/>
    <col min="12033" max="12034" width="14.28515625" style="535" customWidth="1"/>
    <col min="12035" max="12035" width="25.7109375" style="535" customWidth="1"/>
    <col min="12036" max="12036" width="13.85546875" style="535" customWidth="1"/>
    <col min="12037" max="12037" width="13.7109375" style="535" customWidth="1"/>
    <col min="12038" max="12040" width="9.7109375" style="535" customWidth="1"/>
    <col min="12041" max="12288" width="16.5703125" style="535"/>
    <col min="12289" max="12290" width="14.28515625" style="535" customWidth="1"/>
    <col min="12291" max="12291" width="25.7109375" style="535" customWidth="1"/>
    <col min="12292" max="12292" width="13.85546875" style="535" customWidth="1"/>
    <col min="12293" max="12293" width="13.7109375" style="535" customWidth="1"/>
    <col min="12294" max="12296" width="9.7109375" style="535" customWidth="1"/>
    <col min="12297" max="12544" width="16.5703125" style="535"/>
    <col min="12545" max="12546" width="14.28515625" style="535" customWidth="1"/>
    <col min="12547" max="12547" width="25.7109375" style="535" customWidth="1"/>
    <col min="12548" max="12548" width="13.85546875" style="535" customWidth="1"/>
    <col min="12549" max="12549" width="13.7109375" style="535" customWidth="1"/>
    <col min="12550" max="12552" width="9.7109375" style="535" customWidth="1"/>
    <col min="12553" max="12800" width="16.5703125" style="535"/>
    <col min="12801" max="12802" width="14.28515625" style="535" customWidth="1"/>
    <col min="12803" max="12803" width="25.7109375" style="535" customWidth="1"/>
    <col min="12804" max="12804" width="13.85546875" style="535" customWidth="1"/>
    <col min="12805" max="12805" width="13.7109375" style="535" customWidth="1"/>
    <col min="12806" max="12808" width="9.7109375" style="535" customWidth="1"/>
    <col min="12809" max="13056" width="16.5703125" style="535"/>
    <col min="13057" max="13058" width="14.28515625" style="535" customWidth="1"/>
    <col min="13059" max="13059" width="25.7109375" style="535" customWidth="1"/>
    <col min="13060" max="13060" width="13.85546875" style="535" customWidth="1"/>
    <col min="13061" max="13061" width="13.7109375" style="535" customWidth="1"/>
    <col min="13062" max="13064" width="9.7109375" style="535" customWidth="1"/>
    <col min="13065" max="13312" width="16.5703125" style="535"/>
    <col min="13313" max="13314" width="14.28515625" style="535" customWidth="1"/>
    <col min="13315" max="13315" width="25.7109375" style="535" customWidth="1"/>
    <col min="13316" max="13316" width="13.85546875" style="535" customWidth="1"/>
    <col min="13317" max="13317" width="13.7109375" style="535" customWidth="1"/>
    <col min="13318" max="13320" width="9.7109375" style="535" customWidth="1"/>
    <col min="13321" max="13568" width="16.5703125" style="535"/>
    <col min="13569" max="13570" width="14.28515625" style="535" customWidth="1"/>
    <col min="13571" max="13571" width="25.7109375" style="535" customWidth="1"/>
    <col min="13572" max="13572" width="13.85546875" style="535" customWidth="1"/>
    <col min="13573" max="13573" width="13.7109375" style="535" customWidth="1"/>
    <col min="13574" max="13576" width="9.7109375" style="535" customWidth="1"/>
    <col min="13577" max="13824" width="16.5703125" style="535"/>
    <col min="13825" max="13826" width="14.28515625" style="535" customWidth="1"/>
    <col min="13827" max="13827" width="25.7109375" style="535" customWidth="1"/>
    <col min="13828" max="13828" width="13.85546875" style="535" customWidth="1"/>
    <col min="13829" max="13829" width="13.7109375" style="535" customWidth="1"/>
    <col min="13830" max="13832" width="9.7109375" style="535" customWidth="1"/>
    <col min="13833" max="14080" width="16.5703125" style="535"/>
    <col min="14081" max="14082" width="14.28515625" style="535" customWidth="1"/>
    <col min="14083" max="14083" width="25.7109375" style="535" customWidth="1"/>
    <col min="14084" max="14084" width="13.85546875" style="535" customWidth="1"/>
    <col min="14085" max="14085" width="13.7109375" style="535" customWidth="1"/>
    <col min="14086" max="14088" width="9.7109375" style="535" customWidth="1"/>
    <col min="14089" max="14336" width="16.5703125" style="535"/>
    <col min="14337" max="14338" width="14.28515625" style="535" customWidth="1"/>
    <col min="14339" max="14339" width="25.7109375" style="535" customWidth="1"/>
    <col min="14340" max="14340" width="13.85546875" style="535" customWidth="1"/>
    <col min="14341" max="14341" width="13.7109375" style="535" customWidth="1"/>
    <col min="14342" max="14344" width="9.7109375" style="535" customWidth="1"/>
    <col min="14345" max="14592" width="16.5703125" style="535"/>
    <col min="14593" max="14594" width="14.28515625" style="535" customWidth="1"/>
    <col min="14595" max="14595" width="25.7109375" style="535" customWidth="1"/>
    <col min="14596" max="14596" width="13.85546875" style="535" customWidth="1"/>
    <col min="14597" max="14597" width="13.7109375" style="535" customWidth="1"/>
    <col min="14598" max="14600" width="9.7109375" style="535" customWidth="1"/>
    <col min="14601" max="14848" width="16.5703125" style="535"/>
    <col min="14849" max="14850" width="14.28515625" style="535" customWidth="1"/>
    <col min="14851" max="14851" width="25.7109375" style="535" customWidth="1"/>
    <col min="14852" max="14852" width="13.85546875" style="535" customWidth="1"/>
    <col min="14853" max="14853" width="13.7109375" style="535" customWidth="1"/>
    <col min="14854" max="14856" width="9.7109375" style="535" customWidth="1"/>
    <col min="14857" max="15104" width="16.5703125" style="535"/>
    <col min="15105" max="15106" width="14.28515625" style="535" customWidth="1"/>
    <col min="15107" max="15107" width="25.7109375" style="535" customWidth="1"/>
    <col min="15108" max="15108" width="13.85546875" style="535" customWidth="1"/>
    <col min="15109" max="15109" width="13.7109375" style="535" customWidth="1"/>
    <col min="15110" max="15112" width="9.7109375" style="535" customWidth="1"/>
    <col min="15113" max="15360" width="16.5703125" style="535"/>
    <col min="15361" max="15362" width="14.28515625" style="535" customWidth="1"/>
    <col min="15363" max="15363" width="25.7109375" style="535" customWidth="1"/>
    <col min="15364" max="15364" width="13.85546875" style="535" customWidth="1"/>
    <col min="15365" max="15365" width="13.7109375" style="535" customWidth="1"/>
    <col min="15366" max="15368" width="9.7109375" style="535" customWidth="1"/>
    <col min="15369" max="15616" width="16.5703125" style="535"/>
    <col min="15617" max="15618" width="14.28515625" style="535" customWidth="1"/>
    <col min="15619" max="15619" width="25.7109375" style="535" customWidth="1"/>
    <col min="15620" max="15620" width="13.85546875" style="535" customWidth="1"/>
    <col min="15621" max="15621" width="13.7109375" style="535" customWidth="1"/>
    <col min="15622" max="15624" width="9.7109375" style="535" customWidth="1"/>
    <col min="15625" max="15872" width="16.5703125" style="535"/>
    <col min="15873" max="15874" width="14.28515625" style="535" customWidth="1"/>
    <col min="15875" max="15875" width="25.7109375" style="535" customWidth="1"/>
    <col min="15876" max="15876" width="13.85546875" style="535" customWidth="1"/>
    <col min="15877" max="15877" width="13.7109375" style="535" customWidth="1"/>
    <col min="15878" max="15880" width="9.7109375" style="535" customWidth="1"/>
    <col min="15881" max="16128" width="16.5703125" style="535"/>
    <col min="16129" max="16130" width="14.28515625" style="535" customWidth="1"/>
    <col min="16131" max="16131" width="25.7109375" style="535" customWidth="1"/>
    <col min="16132" max="16132" width="13.85546875" style="535" customWidth="1"/>
    <col min="16133" max="16133" width="13.7109375" style="535" customWidth="1"/>
    <col min="16134" max="16136" width="9.7109375" style="535" customWidth="1"/>
    <col min="16137" max="16384" width="16.5703125" style="535"/>
  </cols>
  <sheetData>
    <row r="6" spans="3:9" ht="50.1" customHeight="1">
      <c r="C6" s="246" t="s">
        <v>450</v>
      </c>
      <c r="D6" s="247"/>
      <c r="E6" s="248"/>
      <c r="F6" s="579"/>
      <c r="G6" s="246" t="s">
        <v>451</v>
      </c>
      <c r="H6" s="247"/>
      <c r="I6" s="248"/>
    </row>
    <row r="7" spans="3:9" ht="24.95" customHeight="1">
      <c r="C7" s="580"/>
      <c r="D7" s="556" t="str">
        <f>'Cuotas Plazas Autorizadas05'!$D$7</f>
        <v>julio 2010</v>
      </c>
      <c r="E7" s="580" t="s">
        <v>27</v>
      </c>
      <c r="G7" s="580"/>
      <c r="H7" s="556" t="str">
        <f>'Cuotas Plazas Autorizadas05'!$D$7</f>
        <v>julio 2010</v>
      </c>
      <c r="I7" s="580" t="s">
        <v>27</v>
      </c>
    </row>
    <row r="8" spans="3:9" ht="15" customHeight="1">
      <c r="C8" s="581" t="s">
        <v>411</v>
      </c>
      <c r="D8" s="582">
        <f>IFERROR(GETPIVOTDATA("Suma de Plazas",'[1]tabla dinámica plazas cat'!$A$4,"NombreMunicipio","ADEJE"),"-")</f>
        <v>47298</v>
      </c>
      <c r="E8" s="583">
        <f t="shared" ref="E8:E18" si="0">IFERROR(D8/$D$8,"-")</f>
        <v>1</v>
      </c>
      <c r="G8" s="581" t="s">
        <v>411</v>
      </c>
      <c r="H8" s="582">
        <f>IFERROR(GETPIVOTDATA("Suma de Plazas",'[1]tabla dinámica plazas cat'!$A$4,"NombreMunicipio","ARONA"),"-")</f>
        <v>39569</v>
      </c>
      <c r="I8" s="583">
        <f>IFERROR(H8/$H$8,"-")</f>
        <v>1</v>
      </c>
    </row>
    <row r="9" spans="3:9" ht="15" customHeight="1">
      <c r="C9" s="584" t="s">
        <v>345</v>
      </c>
      <c r="D9" s="585">
        <f>GETPIVOTDATA("Suma de Plazas",'[1]tabla dinámica plazas cat'!$A$4,"NombreMunicipio","ADEJE","Actividad","HOTELES")</f>
        <v>33818</v>
      </c>
      <c r="E9" s="586">
        <f t="shared" si="0"/>
        <v>0.71499852002198827</v>
      </c>
      <c r="F9" s="565"/>
      <c r="G9" s="584" t="s">
        <v>345</v>
      </c>
      <c r="H9" s="585">
        <f>GETPIVOTDATA("Suma de Plazas",'[1]tabla dinámica plazas cat'!$A$4,"NombreMunicipio","ARONA","Actividad","HOTELES")</f>
        <v>16604</v>
      </c>
      <c r="I9" s="586">
        <f t="shared" ref="I9:I32" si="1">IFERROR(H9/$H$8,"-")</f>
        <v>0.41962142080921933</v>
      </c>
    </row>
    <row r="10" spans="3:9" ht="15" customHeight="1">
      <c r="C10" s="587" t="s">
        <v>452</v>
      </c>
      <c r="D10" s="588">
        <f>IFERROR(GETPIVOTDATA("Suma de Plazas",'[1]tabla dinámica plazas cat'!$A$4,"NombreMunicipio","ADEJE","Actividad","HOTELES","Categoría","1 ESTRELLA"),"-")</f>
        <v>477</v>
      </c>
      <c r="E10" s="589">
        <f t="shared" si="0"/>
        <v>1.0084993022960802E-2</v>
      </c>
      <c r="F10" s="565"/>
      <c r="G10" s="587" t="s">
        <v>452</v>
      </c>
      <c r="H10" s="588">
        <f>IFERROR(GETPIVOTDATA("Suma de Plazas",'[1]tabla dinámica plazas cat'!$A$4,"NombreMunicipio","ARONA","Actividad","HOTELES","Categoría","1 ESTRELLA"),"-")</f>
        <v>190</v>
      </c>
      <c r="I10" s="586">
        <f t="shared" si="1"/>
        <v>4.8017387348682052E-3</v>
      </c>
    </row>
    <row r="11" spans="3:9" ht="15" customHeight="1">
      <c r="C11" s="587" t="s">
        <v>453</v>
      </c>
      <c r="D11" s="590">
        <f>IFERROR(GETPIVOTDATA("Suma de Plazas",'[1]tabla dinámica plazas cat'!$A$4,"NombreMunicipio","ADEJE","Actividad","HOTELES","Categoría","2 ESTRELLAS"),"-")</f>
        <v>1155</v>
      </c>
      <c r="E11" s="589">
        <f t="shared" si="0"/>
        <v>2.4419637193961691E-2</v>
      </c>
      <c r="F11" s="565"/>
      <c r="G11" s="587" t="s">
        <v>453</v>
      </c>
      <c r="H11" s="590">
        <f>IFERROR(GETPIVOTDATA("Suma de Plazas",'[1]tabla dinámica plazas cat'!$A$4,"NombreMunicipio","ARONA","Actividad","HOTELES","Categoría","2 ESTRELLAS"),"-")</f>
        <v>96</v>
      </c>
      <c r="I11" s="589">
        <f t="shared" si="1"/>
        <v>2.4261416765649878E-3</v>
      </c>
    </row>
    <row r="12" spans="3:9" ht="15" customHeight="1">
      <c r="C12" s="587" t="s">
        <v>454</v>
      </c>
      <c r="D12" s="590">
        <f>IFERROR(GETPIVOTDATA("Suma de Plazas",'[1]tabla dinámica plazas cat'!$A$4,"NombreMunicipio","ADEJE","Actividad","HOTELES","Categoría","3 ESTRELLAS"),"-")</f>
        <v>8794</v>
      </c>
      <c r="E12" s="589">
        <f t="shared" si="0"/>
        <v>0.18592752336251003</v>
      </c>
      <c r="F12" s="565"/>
      <c r="G12" s="587" t="s">
        <v>454</v>
      </c>
      <c r="H12" s="590">
        <f>IFERROR(GETPIVOTDATA("Suma de Plazas",'[1]tabla dinámica plazas cat'!$A$4,"NombreMunicipio","ARONA","Actividad","HOTELES","Categoría","3 ESTRELLAS"),"-")</f>
        <v>4904</v>
      </c>
      <c r="I12" s="589">
        <f t="shared" si="1"/>
        <v>0.12393540397786146</v>
      </c>
    </row>
    <row r="13" spans="3:9" ht="15" customHeight="1">
      <c r="C13" s="587" t="s">
        <v>455</v>
      </c>
      <c r="D13" s="590">
        <f>IFERROR(GETPIVOTDATA("Suma de Plazas",'[1]tabla dinámica plazas cat'!$A$4,"NombreMunicipio","ADEJE","Actividad","HOTELES","Categoría","4 ESTRELLAS"),"-")</f>
        <v>17960</v>
      </c>
      <c r="E13" s="589">
        <f t="shared" si="0"/>
        <v>0.37972007273034802</v>
      </c>
      <c r="F13" s="565"/>
      <c r="G13" s="587" t="s">
        <v>455</v>
      </c>
      <c r="H13" s="590">
        <f>IFERROR(GETPIVOTDATA("Suma de Plazas",'[1]tabla dinámica plazas cat'!$A$4,"NombreMunicipio","ARONA","Actividad","HOTELES","Categoría","4 ESTRELLAS"),"-")</f>
        <v>9803</v>
      </c>
      <c r="I13" s="589">
        <f t="shared" si="1"/>
        <v>0.24774444641006849</v>
      </c>
    </row>
    <row r="14" spans="3:9" ht="15" customHeight="1">
      <c r="C14" s="587" t="s">
        <v>456</v>
      </c>
      <c r="D14" s="590">
        <f>IFERROR(GETPIVOTDATA("Suma de Plazas",'[1]tabla dinámica plazas cat'!$A$4,"NombreMunicipio","ADEJE","Actividad","HOTELES","Categoría","5 ESTRELLAS")+GETPIVOTDATA("Suma de Plazas",'[1]tabla dinámica plazas cat'!$A$4,"NombreMunicipio","ADEJE","Actividad","HOTELES","Categoría","5 ESTRELLAS LUJO"),"-")</f>
        <v>4886</v>
      </c>
      <c r="E14" s="589">
        <f t="shared" si="0"/>
        <v>0.10330246522051673</v>
      </c>
      <c r="F14" s="565"/>
      <c r="G14" s="587" t="s">
        <v>456</v>
      </c>
      <c r="H14" s="590">
        <f>IFERROR(GETPIVOTDATA("Suma de Plazas",'[1]tabla dinámica plazas cat'!$A$4,"NombreMunicipio","ARONA","Actividad","HOTELES","Categoría","5 ESTRELLAS")+GETPIVOTDATA("Suma de Plazas",'[1]tabla dinámica plazas cat'!$A$4,"NombreMunicipio","ARONA","Actividad","HOTELES","Categoría","5 ESTRELLAS LUJO"),"-")</f>
        <v>1611</v>
      </c>
      <c r="I14" s="589">
        <f t="shared" si="1"/>
        <v>4.0713690009856203E-2</v>
      </c>
    </row>
    <row r="15" spans="3:9" ht="15" hidden="1" customHeight="1">
      <c r="C15" s="587" t="s">
        <v>457</v>
      </c>
      <c r="D15" s="590" t="str">
        <f>IFERROR(GETPIVOTDATA("Suma de Plazas",'[1]tabla dinámica plazas cat'!$A$1,"Actividad","HOTELES","Categoría","SIN DATO"),"-")</f>
        <v>-</v>
      </c>
      <c r="E15" s="589" t="str">
        <f t="shared" si="0"/>
        <v>-</v>
      </c>
      <c r="F15" s="565"/>
      <c r="G15" s="587" t="s">
        <v>457</v>
      </c>
      <c r="H15" s="590" t="str">
        <f>IFERROR(GETPIVOTDATA("Suma de Plazas",'[1]tabla dinámica plazas cat'!$A$1,"Actividad","HOTELES","Categoría","SIN DATO"),"-")</f>
        <v>-</v>
      </c>
      <c r="I15" s="589" t="str">
        <f t="shared" si="1"/>
        <v>-</v>
      </c>
    </row>
    <row r="16" spans="3:9" ht="15" customHeight="1">
      <c r="C16" s="584" t="s">
        <v>346</v>
      </c>
      <c r="D16" s="585">
        <f>GETPIVOTDATA("Suma de Plazas",'[1]tabla dinámica plazas cat'!$A$4,"NombreMunicipio","ADEJE","Actividad","APARTAMENTOS")</f>
        <v>13444</v>
      </c>
      <c r="E16" s="586">
        <f t="shared" si="0"/>
        <v>0.28424034842910906</v>
      </c>
      <c r="F16" s="565"/>
      <c r="G16" s="584" t="s">
        <v>346</v>
      </c>
      <c r="H16" s="585">
        <f>GETPIVOTDATA("Suma de Plazas",'[1]tabla dinámica plazas cat'!$A$4,"NombreMunicipio","ARONA","Actividad","APARTAMENTOS")</f>
        <v>22945</v>
      </c>
      <c r="I16" s="586">
        <f t="shared" si="1"/>
        <v>0.57987313300816301</v>
      </c>
    </row>
    <row r="17" spans="3:9" ht="15" customHeight="1">
      <c r="C17" s="587" t="s">
        <v>458</v>
      </c>
      <c r="D17" s="590">
        <f>IFERROR(GETPIVOTDATA("Suma de Plazas",'[1]tabla dinámica plazas cat'!$A$4,"NombreMunicipio","ADEJE","Actividad","APARTAMENTOS","Categoría","1 LLAVE"),"-")</f>
        <v>1041</v>
      </c>
      <c r="E17" s="589">
        <f t="shared" si="0"/>
        <v>2.2009387289103132E-2</v>
      </c>
      <c r="F17" s="565"/>
      <c r="G17" s="587" t="s">
        <v>458</v>
      </c>
      <c r="H17" s="590">
        <f>IFERROR(GETPIVOTDATA("Suma de Plazas",'[1]tabla dinámica plazas cat'!$A$4,"NombreMunicipio","ARONA","Actividad","APARTAMENTOS","Categoría","1 LLAVE"),"-")</f>
        <v>3836</v>
      </c>
      <c r="I17" s="589">
        <f t="shared" si="1"/>
        <v>9.6944577826075962E-2</v>
      </c>
    </row>
    <row r="18" spans="3:9" ht="15" customHeight="1">
      <c r="C18" s="587" t="s">
        <v>459</v>
      </c>
      <c r="D18" s="590">
        <f>IFERROR(GETPIVOTDATA("Suma de Plazas",'[1]tabla dinámica plazas cat'!$A$4,"NombreMunicipio","ADEJE","Actividad","APARTAMENTOS","Categoría","2 LLAVES"),"-")</f>
        <v>5401</v>
      </c>
      <c r="E18" s="589">
        <f t="shared" si="0"/>
        <v>0.11419087487843038</v>
      </c>
      <c r="F18" s="565"/>
      <c r="G18" s="587" t="s">
        <v>459</v>
      </c>
      <c r="H18" s="590">
        <f>IFERROR(GETPIVOTDATA("Suma de Plazas",'[1]tabla dinámica plazas cat'!$A$4,"NombreMunicipio","ARONA","Actividad","APARTAMENTOS","Categoría","2 LLAVES"),"-")</f>
        <v>5510</v>
      </c>
      <c r="I18" s="589">
        <f t="shared" si="1"/>
        <v>0.13925042331117793</v>
      </c>
    </row>
    <row r="19" spans="3:9" ht="15" customHeight="1">
      <c r="C19" s="587" t="s">
        <v>460</v>
      </c>
      <c r="D19" s="590">
        <f>IFERROR(GETPIVOTDATA("Suma de Plazas",'[1]tabla dinámica plazas cat'!$A$4,"NombreMunicipio","ADEJE","Actividad","APARTAMENTOS","Categoría","3 LLAVES"),"-")</f>
        <v>6998</v>
      </c>
      <c r="E19" s="589">
        <f>IFERROR(D19/$D$8,"-")</f>
        <v>0.14795551608947524</v>
      </c>
      <c r="F19" s="565"/>
      <c r="G19" s="587" t="s">
        <v>460</v>
      </c>
      <c r="H19" s="590">
        <f>IFERROR(GETPIVOTDATA("Suma de Plazas",'[1]tabla dinámica plazas cat'!$A$4,"NombreMunicipio","ARONA","Actividad","APARTAMENTOS","Categoría","3 LLAVES"),"-")</f>
        <v>13381</v>
      </c>
      <c r="I19" s="589">
        <f t="shared" si="1"/>
        <v>0.33816876848037603</v>
      </c>
    </row>
    <row r="20" spans="3:9" ht="15" hidden="1" customHeight="1">
      <c r="C20" s="587" t="s">
        <v>461</v>
      </c>
      <c r="D20" s="590" t="str">
        <f>IFERROR(GETPIVOTDATA("Suma de Plazas",'[1]tabla dinámica plazas cat'!$A$4,"NombreMunicipio","ADEJE","Actividad","APARTAMENTOS","Categoría","4 LLAVES"),"-")</f>
        <v>-</v>
      </c>
      <c r="E20" s="589" t="str">
        <f t="shared" ref="E20:E32" si="2">IFERROR(D20/$D$8,"-")</f>
        <v>-</v>
      </c>
      <c r="F20" s="565"/>
      <c r="G20" s="587" t="s">
        <v>461</v>
      </c>
      <c r="H20" s="590" t="str">
        <f>IFERROR(GETPIVOTDATA("Suma de Plazas",'[1]tabla dinámica plazas cat'!$A$4,"NombreMunicipio","ARONA","Actividad","APARTAMENTOS","Categoría","4 LLAVES"),"-")</f>
        <v>-</v>
      </c>
      <c r="I20" s="589" t="str">
        <f t="shared" si="1"/>
        <v>-</v>
      </c>
    </row>
    <row r="21" spans="3:9" ht="15" customHeight="1">
      <c r="C21" s="587" t="s">
        <v>462</v>
      </c>
      <c r="D21" s="590" t="str">
        <f>IFERROR(GETPIVOTDATA("Suma de Plazas",'[1]tabla dinámica plazas cat'!$A$4,"NombreMunicipio","ADEJE","Actividad","APARTAMENTOS","Categoría","5 LLAVES"),"-")</f>
        <v>-</v>
      </c>
      <c r="E21" s="589" t="str">
        <f t="shared" si="2"/>
        <v>-</v>
      </c>
      <c r="F21" s="565"/>
      <c r="G21" s="587" t="s">
        <v>462</v>
      </c>
      <c r="H21" s="590">
        <f>IFERROR(GETPIVOTDATA("Suma de Plazas",'[1]tabla dinámica plazas cat'!$A$4,"NombreMunicipio","ARONA","Actividad","APARTAMENTOS","Categoría","5 LLAVES"),"-")</f>
        <v>218</v>
      </c>
      <c r="I21" s="589">
        <f t="shared" si="1"/>
        <v>5.5093633905329929E-3</v>
      </c>
    </row>
    <row r="22" spans="3:9" ht="15" customHeight="1">
      <c r="C22" s="587" t="s">
        <v>457</v>
      </c>
      <c r="D22" s="590">
        <f>IFERROR(GETPIVOTDATA("Suma de Plazas",'[1]tabla dinámica plazas cat'!$A$4,"NombreMunicipio","ADEJE","Actividad","APARTAMENTOS","Categoría","SIN DATO"),"-")</f>
        <v>4</v>
      </c>
      <c r="E22" s="589">
        <f t="shared" si="2"/>
        <v>8.4570172100300223E-5</v>
      </c>
      <c r="F22" s="565"/>
      <c r="G22" s="587" t="s">
        <v>457</v>
      </c>
      <c r="H22" s="590" t="str">
        <f>IFERROR(GETPIVOTDATA("Suma de Plazas",'[1]tabla dinámica plazas cat'!$A$4,"NombreMunicipio","ARONA","Actividad","APARTAMENTOS","Categoría","SIN DATO"),"-")</f>
        <v>-</v>
      </c>
      <c r="I22" s="589" t="str">
        <f t="shared" si="1"/>
        <v>-</v>
      </c>
    </row>
    <row r="23" spans="3:9" ht="15" customHeight="1">
      <c r="C23" s="584" t="s">
        <v>413</v>
      </c>
      <c r="D23" s="591">
        <f>GETPIVOTDATA("Suma de Plazas",'[1]tabla dinámica plazas cat'!$A$4,"NombreMunicipio","ADEJE","Actividad","HOTELES RURALES")</f>
        <v>22</v>
      </c>
      <c r="E23" s="586">
        <f t="shared" si="2"/>
        <v>4.6513594655165123E-4</v>
      </c>
      <c r="F23" s="565"/>
      <c r="G23" s="584" t="s">
        <v>413</v>
      </c>
      <c r="H23" s="591">
        <f>GETPIVOTDATA("Suma de Plazas",'[1]tabla dinámica plazas cat'!$A$4,"NombreMunicipio","ARONA","Actividad","HOTELES RURALES")</f>
        <v>0</v>
      </c>
      <c r="I23" s="586">
        <f t="shared" si="1"/>
        <v>0</v>
      </c>
    </row>
    <row r="24" spans="3:9" ht="15" customHeight="1">
      <c r="C24" s="587" t="s">
        <v>463</v>
      </c>
      <c r="D24" s="590">
        <f>IFERROR(GETPIVOTDATA("Suma de Plazas",'[1]tabla dinámica plazas cat'!$A$4,"NombreMunicipio","ADEJE","Actividad","HOTELES RURALES","Categoría","1 PALMERA"),"-")</f>
        <v>22</v>
      </c>
      <c r="E24" s="589">
        <f t="shared" si="2"/>
        <v>4.6513594655165123E-4</v>
      </c>
      <c r="F24" s="565"/>
      <c r="G24" s="587" t="s">
        <v>463</v>
      </c>
      <c r="H24" s="590" t="str">
        <f>IFERROR(GETPIVOTDATA("Suma de Plazas",'[1]tabla dinámica plazas cat'!$A$4,"NombreMunicipio","ARONA","Actividad","HOTELES RURALES","Categoría","1 PALMERA"),"-")</f>
        <v>-</v>
      </c>
      <c r="I24" s="589" t="str">
        <f t="shared" si="1"/>
        <v>-</v>
      </c>
    </row>
    <row r="25" spans="3:9" ht="15" hidden="1" customHeight="1">
      <c r="C25" s="587" t="s">
        <v>464</v>
      </c>
      <c r="D25" s="590" t="str">
        <f>IFERROR(GETPIVOTDATA("Suma de Plazas",'[1]tabla dinámica plazas cat'!$A$4,"NombreMunicipio","ADEJE","Actividad","HOTELES RURALES","Categoría","2 PALMERA"),"-")</f>
        <v>-</v>
      </c>
      <c r="E25" s="589" t="str">
        <f t="shared" si="2"/>
        <v>-</v>
      </c>
      <c r="F25" s="565"/>
      <c r="G25" s="587" t="s">
        <v>464</v>
      </c>
      <c r="H25" s="590" t="str">
        <f>IFERROR(GETPIVOTDATA("Suma de Plazas",'[1]tabla dinámica plazas cat'!$A$4,"NombreMunicipio","ARONA","Actividad","HOTELES RURALES","Categoría","2 PALMERA"),"-")</f>
        <v>-</v>
      </c>
      <c r="I25" s="589" t="str">
        <f t="shared" si="1"/>
        <v>-</v>
      </c>
    </row>
    <row r="26" spans="3:9" ht="15" hidden="1" customHeight="1">
      <c r="C26" s="587" t="s">
        <v>457</v>
      </c>
      <c r="D26" s="590">
        <f>IFERROR(GETPIVOTDATA("Suma de Plazas",'[1]tabla dinámica plazas cat'!$A$4,"NombreMunicipio","ADEJE","Actividad","HOTELES RURALES","Categoría","SIN DATO"),"-")</f>
        <v>0</v>
      </c>
      <c r="E26" s="589">
        <f t="shared" si="2"/>
        <v>0</v>
      </c>
      <c r="F26" s="565"/>
      <c r="G26" s="587" t="s">
        <v>457</v>
      </c>
      <c r="H26" s="590" t="str">
        <f>IFERROR(GETPIVOTDATA("Suma de Plazas",'[1]tabla dinámica plazas cat'!$A$4,"NombreMunicipio","ARONA","Actividad","HOTELES RURALES","Categoría","SIN DATO"),"-")</f>
        <v>-</v>
      </c>
      <c r="I26" s="589" t="str">
        <f t="shared" si="1"/>
        <v>-</v>
      </c>
    </row>
    <row r="27" spans="3:9" ht="15" customHeight="1">
      <c r="C27" s="584" t="s">
        <v>414</v>
      </c>
      <c r="D27" s="592">
        <f>GETPIVOTDATA("Suma de Plazas",'[1]tabla dinámica plazas cat'!$A$4,"NombreMunicipio","ADEJE","Actividad","CASAS RURALES")</f>
        <v>14</v>
      </c>
      <c r="E27" s="586">
        <f t="shared" si="2"/>
        <v>2.9599560235105078E-4</v>
      </c>
      <c r="F27" s="565"/>
      <c r="G27" s="584" t="s">
        <v>414</v>
      </c>
      <c r="H27" s="592">
        <f>GETPIVOTDATA("Suma de Plazas",'[1]tabla dinámica plazas cat'!$A$4,"NombreMunicipio","ARONA","Actividad","CASAS RURALES")</f>
        <v>20</v>
      </c>
      <c r="I27" s="586">
        <f t="shared" si="1"/>
        <v>5.0544618261770579E-4</v>
      </c>
    </row>
    <row r="28" spans="3:9" ht="15" hidden="1" customHeight="1">
      <c r="C28" s="587" t="s">
        <v>465</v>
      </c>
      <c r="D28" s="593" t="str">
        <f>IFERROR(GETPIVOTDATA("Suma de Plazas",'[1]tabla dinámica plazas cat'!$A$4,"NombreMunicipio","ADEJE","Actividad","CASAS RURALES","Categoría","CONJUNTO INMUEBLES"),"-")</f>
        <v>-</v>
      </c>
      <c r="E28" s="589" t="str">
        <f t="shared" si="2"/>
        <v>-</v>
      </c>
      <c r="F28" s="565"/>
      <c r="G28" s="587" t="s">
        <v>465</v>
      </c>
      <c r="H28" s="593" t="str">
        <f>IFERROR(GETPIVOTDATA("Suma de Plazas",'[1]tabla dinámica plazas cat'!$A$4,"NombreMunicipio","ARONA","Actividad","CASAS RURALES","Categoría","CONJUNTO INMUEBLES"),"-")</f>
        <v>-</v>
      </c>
      <c r="I28" s="589" t="str">
        <f t="shared" si="1"/>
        <v>-</v>
      </c>
    </row>
    <row r="29" spans="3:9" ht="15" hidden="1" customHeight="1">
      <c r="C29" s="587" t="s">
        <v>466</v>
      </c>
      <c r="D29" s="593" t="str">
        <f>IFERROR(GETPIVOTDATA("Suma de Plazas",'[1]tabla dinámica plazas cat'!$A$4,"NombreMunicipio","ADEJE","Actividad","CASAS RURALES","Categoría","COMPARTIDO PROPIETARIO"),"-")</f>
        <v>-</v>
      </c>
      <c r="E29" s="589" t="str">
        <f t="shared" si="2"/>
        <v>-</v>
      </c>
      <c r="F29" s="565"/>
      <c r="G29" s="587" t="s">
        <v>466</v>
      </c>
      <c r="H29" s="593" t="str">
        <f>IFERROR(GETPIVOTDATA("Suma de Plazas",'[1]tabla dinámica plazas cat'!$A$4,"NombreMunicipio","ARONA","Actividad","CASAS RURALES","Categoría","COMPARTIDO PROPIETARIO"),"-")</f>
        <v>-</v>
      </c>
      <c r="I29" s="589" t="str">
        <f t="shared" si="1"/>
        <v>-</v>
      </c>
    </row>
    <row r="30" spans="3:9" ht="15" customHeight="1">
      <c r="C30" s="587" t="s">
        <v>467</v>
      </c>
      <c r="D30" s="593">
        <f>IFERROR(GETPIVOTDATA("Suma de Plazas",'[1]tabla dinámica plazas cat'!$A$4,"NombreMunicipio","ADEJE","Actividad","CASAS RURALES","Categoría","EXCLUSIVO"),"-")</f>
        <v>5</v>
      </c>
      <c r="E30" s="589">
        <f t="shared" si="2"/>
        <v>1.0571271512537528E-4</v>
      </c>
      <c r="F30" s="594"/>
      <c r="G30" s="587" t="s">
        <v>467</v>
      </c>
      <c r="H30" s="593" t="str">
        <f>IFERROR(GETPIVOTDATA("Suma de Plazas",'[1]tabla dinámica plazas cat'!$A$4,"NombreMunicipio","ARONA","Actividad","CASAS RURALES","Categoría","EXCLUSIVO"),"-")</f>
        <v>-</v>
      </c>
      <c r="I30" s="589" t="str">
        <f t="shared" si="1"/>
        <v>-</v>
      </c>
    </row>
    <row r="31" spans="3:9" ht="15" customHeight="1" thickBot="1">
      <c r="C31" s="587" t="s">
        <v>468</v>
      </c>
      <c r="D31" s="593">
        <f>GETPIVOTDATA("Suma de Plazas",'[1]tabla dinámica plazas cat'!$A$4,"NombreMunicipio","ADEJE","Actividad","CASAS RURALES","Categoría","COMPARTIDO OTROS USUARIOS")</f>
        <v>9</v>
      </c>
      <c r="E31" s="589">
        <f t="shared" si="2"/>
        <v>1.902828872256755E-4</v>
      </c>
      <c r="F31" s="594"/>
      <c r="G31" s="587" t="s">
        <v>468</v>
      </c>
      <c r="H31" s="593">
        <f>GETPIVOTDATA("Suma de Plazas",'[1]tabla dinámica plazas cat'!$A$4,"NombreMunicipio","ARONA","Actividad","CASAS RURALES","Categoría","COMPARTIDO OTROS USUARIOS")</f>
        <v>20</v>
      </c>
      <c r="I31" s="589">
        <f t="shared" si="1"/>
        <v>5.0544618261770579E-4</v>
      </c>
    </row>
    <row r="32" spans="3:9" ht="15" hidden="1" customHeight="1" thickBot="1">
      <c r="C32" s="587" t="s">
        <v>457</v>
      </c>
      <c r="D32" s="593">
        <f>IFERROR(GETPIVOTDATA("Suma de Plazas",'[1]tabla dinámica plazas cat'!$A$4,"NombreMunicipio","ADEJE","Actividad","CASAS RURALES","Categoría","SIN DATO"),"-")</f>
        <v>0</v>
      </c>
      <c r="E32" s="589">
        <f t="shared" si="2"/>
        <v>0</v>
      </c>
      <c r="F32" s="565"/>
      <c r="G32" s="587" t="s">
        <v>457</v>
      </c>
      <c r="H32" s="593" t="str">
        <f>IFERROR(GETPIVOTDATA("Suma de Plazas",'[1]tabla dinámica plazas cat'!$A$4,"NombreMunicipio","ARONA","Actividad","CASAS RURALES","Categoría","SIN DATO"),"-")</f>
        <v>-</v>
      </c>
      <c r="I32" s="589" t="str">
        <f t="shared" si="1"/>
        <v>-</v>
      </c>
    </row>
    <row r="33" spans="3:11" ht="30" customHeight="1" thickBot="1">
      <c r="C33" s="595" t="s">
        <v>469</v>
      </c>
      <c r="D33" s="596"/>
      <c r="E33" s="597"/>
      <c r="F33" s="565"/>
      <c r="G33" s="595" t="s">
        <v>469</v>
      </c>
      <c r="H33" s="596"/>
      <c r="I33" s="597"/>
      <c r="K33" s="60" t="s">
        <v>49</v>
      </c>
    </row>
    <row r="34" spans="3:11" ht="51" customHeight="1">
      <c r="D34" s="565"/>
      <c r="E34" s="565"/>
      <c r="F34" s="565"/>
      <c r="G34" s="565"/>
      <c r="H34" s="565"/>
    </row>
    <row r="35" spans="3:11" ht="40.5" customHeight="1">
      <c r="C35" s="246" t="s">
        <v>470</v>
      </c>
      <c r="D35" s="247"/>
      <c r="E35" s="248"/>
      <c r="F35" s="579"/>
      <c r="G35" s="246" t="s">
        <v>471</v>
      </c>
      <c r="H35" s="247"/>
      <c r="I35" s="248"/>
    </row>
    <row r="36" spans="3:11" ht="24.75" customHeight="1">
      <c r="C36" s="580"/>
      <c r="D36" s="556" t="str">
        <f>'Cuotas Plazas Autorizadas05'!$D$7</f>
        <v>julio 2010</v>
      </c>
      <c r="E36" s="580" t="s">
        <v>27</v>
      </c>
      <c r="G36" s="580"/>
      <c r="H36" s="556" t="str">
        <f>'Cuotas Plazas Autorizadas05'!$D$7</f>
        <v>julio 2010</v>
      </c>
      <c r="I36" s="580" t="s">
        <v>27</v>
      </c>
    </row>
    <row r="37" spans="3:11">
      <c r="C37" s="581" t="s">
        <v>411</v>
      </c>
      <c r="D37" s="582">
        <f>IFERROR(GETPIVOTDATA("Suma de Plazas",'[1]tabla dinámica plazas cat'!$A$4,"NombreMunicipio","PUERTO DE LA CRUZ"),"-")</f>
        <v>23028</v>
      </c>
      <c r="E37" s="583">
        <f>IFERROR(D37/$D$37,"-")</f>
        <v>1</v>
      </c>
      <c r="G37" s="581" t="s">
        <v>411</v>
      </c>
      <c r="H37" s="582">
        <f>IFERROR(GETPIVOTDATA("Suma de Plazas",'[1]tabla dinámica plazas cat'!$A$4,"NombreMunicipio","SANTA CRUZ DE TENERIFE"),"-")</f>
        <v>2687</v>
      </c>
      <c r="I37" s="583">
        <f>IFERROR(H37/$H$37,"-")</f>
        <v>1</v>
      </c>
    </row>
    <row r="38" spans="3:11">
      <c r="C38" s="584" t="s">
        <v>345</v>
      </c>
      <c r="D38" s="585">
        <f>GETPIVOTDATA("Suma de Plazas",'[1]tabla dinámica plazas cat'!$A$4,"NombreMunicipio","PUERTO DE LA CRUZ","Actividad","HOTELES")</f>
        <v>16251</v>
      </c>
      <c r="E38" s="586">
        <f t="shared" ref="E38:E61" si="3">IFERROR(D38/$D$37,"-")</f>
        <v>0.70570609692548203</v>
      </c>
      <c r="F38" s="565"/>
      <c r="G38" s="584" t="s">
        <v>345</v>
      </c>
      <c r="H38" s="585">
        <f>GETPIVOTDATA("Suma de Plazas",'[1]tabla dinámica plazas cat'!$A$4,"NombreMunicipio","SANTA CRUZ DE TENERIFE","Actividad","HOTELES")</f>
        <v>2673</v>
      </c>
      <c r="I38" s="586">
        <f t="shared" ref="I38:I61" si="4">IFERROR(H38/$H$37,"-")</f>
        <v>0.99478972832154822</v>
      </c>
    </row>
    <row r="39" spans="3:11">
      <c r="C39" s="587" t="s">
        <v>452</v>
      </c>
      <c r="D39" s="588">
        <f>IFERROR(GETPIVOTDATA("Suma de Plazas",'[1]tabla dinámica plazas cat'!$A$4,"NombreMunicipio","PUERTO DE LA CRUZ","Actividad","HOTELES","Categoría","1 ESTRELLA"),"-")</f>
        <v>145</v>
      </c>
      <c r="E39" s="589">
        <f t="shared" si="3"/>
        <v>6.2966822998089282E-3</v>
      </c>
      <c r="F39" s="565"/>
      <c r="G39" s="587" t="s">
        <v>452</v>
      </c>
      <c r="H39" s="588">
        <f>IFERROR(GETPIVOTDATA("Suma de Plazas",'[1]tabla dinámica plazas cat'!$A$4,"NombreMunicipio","SANTA CRUZ DE TENERIFE","Actividad","HOTELES","Categoría","1 ESTRELLA"),"-")</f>
        <v>218</v>
      </c>
      <c r="I39" s="589">
        <f t="shared" si="4"/>
        <v>8.113137327874953E-2</v>
      </c>
    </row>
    <row r="40" spans="3:11">
      <c r="C40" s="587" t="s">
        <v>453</v>
      </c>
      <c r="D40" s="590">
        <f>IFERROR(GETPIVOTDATA("Suma de Plazas",'[1]tabla dinámica plazas cat'!$A$4,"NombreMunicipio","PUERTO DE LA CRUZ","Actividad","HOTELES","Categoría","2 ESTRELLAS"),"-")</f>
        <v>317</v>
      </c>
      <c r="E40" s="589">
        <f t="shared" si="3"/>
        <v>1.376585026923745E-2</v>
      </c>
      <c r="F40" s="565"/>
      <c r="G40" s="587" t="s">
        <v>453</v>
      </c>
      <c r="H40" s="590">
        <f>IFERROR(GETPIVOTDATA("Suma de Plazas",'[1]tabla dinámica plazas cat'!$A$4,"NombreMunicipio","SANTA CRUZ DE TENERIFE","Actividad","HOTELES","Categoría","2 ESTRELLAS"),"-")</f>
        <v>680</v>
      </c>
      <c r="I40" s="589">
        <f t="shared" si="4"/>
        <v>0.2530703386676591</v>
      </c>
    </row>
    <row r="41" spans="3:11">
      <c r="C41" s="587" t="s">
        <v>454</v>
      </c>
      <c r="D41" s="590">
        <f>IFERROR(GETPIVOTDATA("Suma de Plazas",'[1]tabla dinámica plazas cat'!$A$4,"NombreMunicipio","PUERTO DE LA CRUZ","Actividad","HOTELES","Categoría","3 ESTRELLAS"),"-")</f>
        <v>3374</v>
      </c>
      <c r="E41" s="589">
        <f t="shared" si="3"/>
        <v>0.14651728330727809</v>
      </c>
      <c r="F41" s="565"/>
      <c r="G41" s="587" t="s">
        <v>454</v>
      </c>
      <c r="H41" s="590">
        <f>IFERROR(GETPIVOTDATA("Suma de Plazas",'[1]tabla dinámica plazas cat'!$A$4,"NombreMunicipio","SANTA CRUZ DE TENERIFE","Actividad","HOTELES","Categoría","3 ESTRELLAS"),"-")</f>
        <v>795</v>
      </c>
      <c r="I41" s="589">
        <f t="shared" si="4"/>
        <v>0.2958689988835132</v>
      </c>
    </row>
    <row r="42" spans="3:11">
      <c r="C42" s="587" t="s">
        <v>455</v>
      </c>
      <c r="D42" s="590">
        <f>IFERROR(GETPIVOTDATA("Suma de Plazas",'[1]tabla dinámica plazas cat'!$A$4,"NombreMunicipio","PUERTO DE LA CRUZ","Actividad","HOTELES","Categoría","4 ESTRELLAS"),"-")</f>
        <v>11321</v>
      </c>
      <c r="E42" s="589">
        <f t="shared" si="3"/>
        <v>0.49161889873197845</v>
      </c>
      <c r="F42" s="565"/>
      <c r="G42" s="587" t="s">
        <v>455</v>
      </c>
      <c r="H42" s="590">
        <f>IFERROR(GETPIVOTDATA("Suma de Plazas",'[1]tabla dinámica plazas cat'!$A$4,"NombreMunicipio","SANTA CRUZ DE TENERIFE","Actividad","HOTELES","Categoría","4 ESTRELLAS"),"-")</f>
        <v>408</v>
      </c>
      <c r="I42" s="589">
        <f t="shared" si="4"/>
        <v>0.15184220320059547</v>
      </c>
    </row>
    <row r="43" spans="3:11">
      <c r="C43" s="587" t="s">
        <v>456</v>
      </c>
      <c r="D43" s="590">
        <f>IFERROR(GETPIVOTDATA("Suma de Plazas",'[1]tabla dinámica plazas cat'!$A$4,"NombreMunicipio","PUERTO DE LA CRUZ","Actividad","HOTELES","Categoría","5 ESTRELLAS")+GETPIVOTDATA("Suma de Plazas",'[1]tabla dinámica plazas cat'!$A$4,"NombreMunicipio","PUERTO DE LA CRUZ","Actividad","HOTELES","Categoría","5 ESTRELLAS LUJO"),"-")</f>
        <v>1094</v>
      </c>
      <c r="E43" s="589">
        <f t="shared" si="3"/>
        <v>4.7507382317179089E-2</v>
      </c>
      <c r="F43" s="565"/>
      <c r="G43" s="587" t="s">
        <v>456</v>
      </c>
      <c r="H43" s="590">
        <f>IFERROR(GETPIVOTDATA("Suma de Plazas",'[1]tabla dinámica plazas cat'!$A$4,"NombreMunicipio","SANTA CRUZ DE TENERIFE","Actividad","HOTELES","Categoría","5 ESTRELLAS"),"-")</f>
        <v>572</v>
      </c>
      <c r="I43" s="589">
        <f t="shared" si="4"/>
        <v>0.21287681429103089</v>
      </c>
    </row>
    <row r="44" spans="3:11" hidden="1">
      <c r="C44" s="587" t="s">
        <v>457</v>
      </c>
      <c r="D44" s="590" t="str">
        <f>IFERROR(GETPIVOTDATA("Suma de Plazas",'[1]tabla dinámica plazas cat'!$A$1,"Actividad","HOTELES","Categoría","SIN DATO"),"-")</f>
        <v>-</v>
      </c>
      <c r="E44" s="589" t="str">
        <f t="shared" si="3"/>
        <v>-</v>
      </c>
      <c r="F44" s="565"/>
      <c r="G44" s="587" t="s">
        <v>457</v>
      </c>
      <c r="H44" s="590" t="str">
        <f>IFERROR(GETPIVOTDATA("Suma de Plazas",'[1]tabla dinámica plazas cat'!$A$1,"Actividad","HOTELES","Categoría","SIN DATO"),"-")</f>
        <v>-</v>
      </c>
      <c r="I44" s="589" t="str">
        <f t="shared" si="4"/>
        <v>-</v>
      </c>
    </row>
    <row r="45" spans="3:11">
      <c r="C45" s="584" t="s">
        <v>346</v>
      </c>
      <c r="D45" s="585">
        <f>GETPIVOTDATA("Suma de Plazas",'[1]tabla dinámica plazas cat'!$A$4,"NombreMunicipio","PUERTO DE LA CRUZ","Actividad","APARTAMENTOS")</f>
        <v>6777</v>
      </c>
      <c r="E45" s="586">
        <f t="shared" si="3"/>
        <v>0.29429390307451797</v>
      </c>
      <c r="F45" s="565"/>
      <c r="G45" s="584" t="s">
        <v>346</v>
      </c>
      <c r="H45" s="585">
        <f>GETPIVOTDATA("Suma de Plazas",'[1]tabla dinámica plazas cat'!$A$4,"NombreMunicipio","SANTA CRUZ DE TENERIFE","Actividad","APARTAMENTOS")</f>
        <v>6</v>
      </c>
      <c r="I45" s="586">
        <f t="shared" si="4"/>
        <v>2.2329735764793448E-3</v>
      </c>
    </row>
    <row r="46" spans="3:11">
      <c r="C46" s="587" t="s">
        <v>458</v>
      </c>
      <c r="D46" s="590">
        <f>IFERROR(GETPIVOTDATA("Suma de Plazas",'[1]tabla dinámica plazas cat'!$A$4,"NombreMunicipio","PUERTO DE LA CRUZ","Actividad","APARTAMENTOS","Categoría","1 LLAVE"),"-")</f>
        <v>182</v>
      </c>
      <c r="E46" s="589">
        <f t="shared" si="3"/>
        <v>7.9034219211394832E-3</v>
      </c>
      <c r="F46" s="565"/>
      <c r="G46" s="587" t="s">
        <v>458</v>
      </c>
      <c r="H46" s="590" t="str">
        <f>IFERROR(GETPIVOTDATA("Suma de Plazas",'[1]tabla dinámica plazas cat'!$A$4,"NombreMunicipio","SANTA CRUZ DE TENERIFE","Actividad","APARTAMENTOS","Categoría","1 LLAVE"),"-")</f>
        <v>-</v>
      </c>
      <c r="I46" s="589" t="str">
        <f t="shared" si="4"/>
        <v>-</v>
      </c>
    </row>
    <row r="47" spans="3:11">
      <c r="C47" s="587" t="s">
        <v>459</v>
      </c>
      <c r="D47" s="590">
        <f>IFERROR(GETPIVOTDATA("Suma de Plazas",'[1]tabla dinámica plazas cat'!$A$4,"NombreMunicipio","PUERTO DE LA CRUZ","Actividad","APARTAMENTOS","Categoría","2 LLAVES"),"-")</f>
        <v>1262</v>
      </c>
      <c r="E47" s="589">
        <f t="shared" si="3"/>
        <v>5.4802848705923224E-2</v>
      </c>
      <c r="F47" s="565"/>
      <c r="G47" s="587" t="s">
        <v>459</v>
      </c>
      <c r="H47" s="590" t="str">
        <f>IFERROR(GETPIVOTDATA("Suma de Plazas",'[1]tabla dinámica plazas cat'!$A$4,"NombreMunicipio","SANTA CRUZ DE TENERIFE","Actividad","APARTAMENTOS","Categoría","2 LLAVES"),"-")</f>
        <v>-</v>
      </c>
      <c r="I47" s="589" t="str">
        <f t="shared" si="4"/>
        <v>-</v>
      </c>
    </row>
    <row r="48" spans="3:11">
      <c r="C48" s="587" t="s">
        <v>460</v>
      </c>
      <c r="D48" s="590">
        <f>IFERROR(GETPIVOTDATA("Suma de Plazas",'[1]tabla dinámica plazas cat'!$A$4,"NombreMunicipio","PUERTO DE LA CRUZ","Actividad","APARTAMENTOS","Categoría","3 LLAVES"),"-")</f>
        <v>5333</v>
      </c>
      <c r="E48" s="589">
        <f t="shared" si="3"/>
        <v>0.23158763244745528</v>
      </c>
      <c r="F48" s="565"/>
      <c r="G48" s="587" t="s">
        <v>460</v>
      </c>
      <c r="H48" s="590" t="str">
        <f>IFERROR(GETPIVOTDATA("Suma de Plazas",'[1]tabla dinámica plazas cat'!$A$4,"NombreMunicipio","SANTA CRUZ DE TENERIFE","Actividad","APARTAMENTOS","Categoría","3 LLAVES"),"-")</f>
        <v>-</v>
      </c>
      <c r="I48" s="589" t="str">
        <f t="shared" si="4"/>
        <v>-</v>
      </c>
    </row>
    <row r="49" spans="3:9" hidden="1">
      <c r="C49" s="587" t="s">
        <v>461</v>
      </c>
      <c r="D49" s="590" t="str">
        <f>IFERROR(GETPIVOTDATA("Suma de Plazas",'[1]tabla dinámica plazas cat'!$A$4,"NombreMunicipio","PUERTO DE LA CRUZ","Actividad","APARTAMENTOS","Categoría","4 LLAVES"),"-")</f>
        <v>-</v>
      </c>
      <c r="E49" s="589" t="str">
        <f t="shared" si="3"/>
        <v>-</v>
      </c>
      <c r="F49" s="565"/>
      <c r="G49" s="587" t="s">
        <v>461</v>
      </c>
      <c r="H49" s="590" t="str">
        <f>IFERROR(GETPIVOTDATA("Suma de Plazas",'[1]tabla dinámica plazas cat'!$A$4,"NombreMunicipio","SANTA CRUZ DE TENERIFE","Actividad","APARTAMENTOS","Categoría","4 LLAVES"),"-")</f>
        <v>-</v>
      </c>
      <c r="I49" s="589" t="str">
        <f t="shared" si="4"/>
        <v>-</v>
      </c>
    </row>
    <row r="50" spans="3:9" hidden="1">
      <c r="C50" s="587" t="s">
        <v>462</v>
      </c>
      <c r="D50" s="590" t="str">
        <f>IFERROR(GETPIVOTDATA("Suma de Plazas",'[1]tabla dinámica plazas cat'!$A$4,"NombreMunicipio","PUERTO DE LA CRUZ","Actividad","APARTAMENTOS","Categoría","5 LLAVES"),"-")</f>
        <v>-</v>
      </c>
      <c r="E50" s="589" t="str">
        <f t="shared" si="3"/>
        <v>-</v>
      </c>
      <c r="F50" s="565"/>
      <c r="G50" s="587" t="s">
        <v>462</v>
      </c>
      <c r="H50" s="590" t="str">
        <f>IFERROR(GETPIVOTDATA("Suma de Plazas",'[1]tabla dinámica plazas cat'!$A$4,"NombreMunicipio","SANTA CRUZ DE TENERIFE","Actividad","APARTAMENTOS","Categoría","5 LLAVES"),"-")</f>
        <v>-</v>
      </c>
      <c r="I50" s="589" t="str">
        <f t="shared" si="4"/>
        <v>-</v>
      </c>
    </row>
    <row r="51" spans="3:9">
      <c r="C51" s="587" t="s">
        <v>457</v>
      </c>
      <c r="D51" s="590" t="str">
        <f>IFERROR(GETPIVOTDATA("Suma de Plazas",'[1]tabla dinámica plazas cat'!$A$4,"NombreMunicipio","PUERTO DE LA CRUZ","Actividad","APARTAMENTOS","Categoría","SIN DATO"),"-")</f>
        <v>-</v>
      </c>
      <c r="E51" s="589" t="str">
        <f t="shared" si="3"/>
        <v>-</v>
      </c>
      <c r="F51" s="565"/>
      <c r="G51" s="587" t="s">
        <v>457</v>
      </c>
      <c r="H51" s="590">
        <f>IFERROR(GETPIVOTDATA("Suma de Plazas",'[1]tabla dinámica plazas cat'!$A$4,"NombreMunicipio","SANTA CRUZ DE TENERIFE","Actividad","APARTAMENTOS","Categoría","SIN DATO"),"-")</f>
        <v>6</v>
      </c>
      <c r="I51" s="589">
        <f t="shared" si="4"/>
        <v>2.2329735764793448E-3</v>
      </c>
    </row>
    <row r="52" spans="3:9" hidden="1">
      <c r="C52" s="584" t="s">
        <v>413</v>
      </c>
      <c r="D52" s="591">
        <f>GETPIVOTDATA("Suma de Plazas",'[1]tabla dinámica plazas cat'!$A$4,"NombreMunicipio","PUERTO DE LA CRUZ","Actividad","HOTELES RURALES")</f>
        <v>0</v>
      </c>
      <c r="E52" s="586">
        <f t="shared" si="3"/>
        <v>0</v>
      </c>
      <c r="F52" s="565"/>
      <c r="G52" s="584" t="s">
        <v>413</v>
      </c>
      <c r="H52" s="591">
        <f>GETPIVOTDATA("Suma de Plazas",'[1]tabla dinámica plazas cat'!$A$4,"NombreMunicipio","SANTA CRUZ DE TENERIFE","Actividad","HOTELES RURALES")</f>
        <v>0</v>
      </c>
      <c r="I52" s="586">
        <f t="shared" si="4"/>
        <v>0</v>
      </c>
    </row>
    <row r="53" spans="3:9" hidden="1">
      <c r="C53" s="587" t="s">
        <v>463</v>
      </c>
      <c r="D53" s="590" t="str">
        <f>IFERROR(GETPIVOTDATA("Suma de Plazas",'[1]tabla dinámica plazas cat'!$A$4,"NombreMunicipio","PUERTO DE LA CRUZ","Actividad","HOTELES RURALES","Categoría","1 PALMERA"),"-")</f>
        <v>-</v>
      </c>
      <c r="E53" s="589" t="str">
        <f t="shared" si="3"/>
        <v>-</v>
      </c>
      <c r="F53" s="565"/>
      <c r="G53" s="587" t="s">
        <v>463</v>
      </c>
      <c r="H53" s="590" t="str">
        <f>IFERROR(GETPIVOTDATA("Suma de Plazas",'[1]tabla dinámica plazas cat'!$A$4,"NombreMunicipio","SANTA CRUZ DE TENERIFE","Actividad","HOTELES RURALES","Categoría","1 PALMERA"),"-")</f>
        <v>-</v>
      </c>
      <c r="I53" s="589" t="str">
        <f t="shared" si="4"/>
        <v>-</v>
      </c>
    </row>
    <row r="54" spans="3:9" hidden="1">
      <c r="C54" s="587" t="s">
        <v>464</v>
      </c>
      <c r="D54" s="590" t="str">
        <f>IFERROR(GETPIVOTDATA("Suma de Plazas",'[1]tabla dinámica plazas cat'!$A$4,"NombreMunicipio","PUERTO DE LA CRUZ","Actividad","HOTELES RURALES","Categoría","2 PALMERA"),"-")</f>
        <v>-</v>
      </c>
      <c r="E54" s="589" t="str">
        <f t="shared" si="3"/>
        <v>-</v>
      </c>
      <c r="F54" s="565"/>
      <c r="G54" s="587" t="s">
        <v>464</v>
      </c>
      <c r="H54" s="590" t="str">
        <f>IFERROR(GETPIVOTDATA("Suma de Plazas",'[1]tabla dinámica plazas cat'!$A$4,"NombreMunicipio","SANTA CRUZ DE TENERIFE","Actividad","HOTELES RURALES","Categoría","2 PALMERA"),"-")</f>
        <v>-</v>
      </c>
      <c r="I54" s="589" t="str">
        <f t="shared" si="4"/>
        <v>-</v>
      </c>
    </row>
    <row r="55" spans="3:9" hidden="1">
      <c r="C55" s="587" t="s">
        <v>457</v>
      </c>
      <c r="D55" s="590" t="str">
        <f>IFERROR(GETPIVOTDATA("Suma de Plazas",'[1]tabla dinámica plazas cat'!$A$4,"NombreMunicipio","PUERTO DE LA CRUZ","Actividad","HOTELES RURALES","Categoría","SIN DATO"),"-")</f>
        <v>-</v>
      </c>
      <c r="E55" s="589" t="str">
        <f t="shared" si="3"/>
        <v>-</v>
      </c>
      <c r="F55" s="565"/>
      <c r="G55" s="587" t="s">
        <v>457</v>
      </c>
      <c r="H55" s="590">
        <f>IFERROR(GETPIVOTDATA("Suma de Plazas",'[1]tabla dinámica plazas cat'!$A$4,"NombreMunicipio","SANTA CRUZ DE TENERIFE","Actividad","HOTELES RURALES","Categoría","SIN DATO"),"-")</f>
        <v>0</v>
      </c>
      <c r="I55" s="589">
        <f t="shared" si="4"/>
        <v>0</v>
      </c>
    </row>
    <row r="56" spans="3:9">
      <c r="C56" s="584" t="s">
        <v>414</v>
      </c>
      <c r="D56" s="592">
        <f>GETPIVOTDATA("Suma de Plazas",'[1]tabla dinámica plazas cat'!$A$4,"NombreMunicipio","PUERTO DE LA CRUZ","Actividad","CASAS RURALES")</f>
        <v>0</v>
      </c>
      <c r="E56" s="586">
        <f t="shared" si="3"/>
        <v>0</v>
      </c>
      <c r="F56" s="565"/>
      <c r="G56" s="584" t="s">
        <v>414</v>
      </c>
      <c r="H56" s="592">
        <f>GETPIVOTDATA("Suma de Plazas",'[1]tabla dinámica plazas cat'!$A$4,"NombreMunicipio","SANTA CRUZ DE TENERIFE","Actividad","CASAS RURALES")</f>
        <v>8</v>
      </c>
      <c r="I56" s="586">
        <f t="shared" si="4"/>
        <v>2.9772981019724602E-3</v>
      </c>
    </row>
    <row r="57" spans="3:9">
      <c r="C57" s="587" t="s">
        <v>465</v>
      </c>
      <c r="D57" s="593" t="str">
        <f>IFERROR(GETPIVOTDATA("Suma de Plazas",'[1]tabla dinámica plazas cat'!$A$4,"NombreMunicipio","PUERTO DE LA CRUZ","Actividad","CASAS RURALES","Categoría","CONJUNTO INMUEBLES"),"-")</f>
        <v>-</v>
      </c>
      <c r="E57" s="589" t="str">
        <f t="shared" si="3"/>
        <v>-</v>
      </c>
      <c r="F57" s="565"/>
      <c r="G57" s="587" t="s">
        <v>465</v>
      </c>
      <c r="H57" s="593">
        <f>IFERROR(GETPIVOTDATA("Suma de Plazas",'[1]tabla dinámica plazas cat'!$A$4,"NombreMunicipio","SANTA CRUZ DE TENERIFE","Actividad","CASAS RURALES","Categoría","CONJUNTO INMUEBLES"),"-")</f>
        <v>8</v>
      </c>
      <c r="I57" s="589">
        <f t="shared" si="4"/>
        <v>2.9772981019724602E-3</v>
      </c>
    </row>
    <row r="58" spans="3:9" hidden="1">
      <c r="C58" s="587" t="s">
        <v>466</v>
      </c>
      <c r="D58" s="593" t="str">
        <f>IFERROR(GETPIVOTDATA("Suma de Plazas",'[1]tabla dinámica plazas cat'!$A$4,"NombreMunicipio","PUERTO DE LA CRUZ","Actividad","CASAS RURALES","Categoría","COMPARTIDO PROPIETARIO"),"-")</f>
        <v>-</v>
      </c>
      <c r="E58" s="589" t="str">
        <f t="shared" si="3"/>
        <v>-</v>
      </c>
      <c r="F58" s="565"/>
      <c r="G58" s="587" t="s">
        <v>466</v>
      </c>
      <c r="H58" s="593" t="str">
        <f>IFERROR(GETPIVOTDATA("Suma de Plazas",'[1]tabla dinámica plazas cat'!$A$4,"NombreMunicipio","SANTA CRUZ DE TENERIFE","Actividad","CASAS RURALES","Categoría","COMPARTIDO PROPIETARIO"),"-")</f>
        <v>-</v>
      </c>
      <c r="I58" s="589" t="str">
        <f t="shared" si="4"/>
        <v>-</v>
      </c>
    </row>
    <row r="59" spans="3:9" hidden="1">
      <c r="C59" s="587" t="s">
        <v>467</v>
      </c>
      <c r="D59" s="593" t="str">
        <f>IFERROR(GETPIVOTDATA("Suma de Plazas",'[1]tabla dinámica plazas cat'!$A$4,"NombreMunicipio","PUERTO DE LA CRUZ","Actividad","CASAS RURALES","Categoría","EXCLUSIVO"),"-")</f>
        <v>-</v>
      </c>
      <c r="E59" s="589" t="str">
        <f t="shared" si="3"/>
        <v>-</v>
      </c>
      <c r="F59" s="594"/>
      <c r="G59" s="587" t="s">
        <v>467</v>
      </c>
      <c r="H59" s="593" t="str">
        <f>IFERROR(GETPIVOTDATA("Suma de Plazas",'[1]tabla dinámica plazas cat'!$A$4,"NombreMunicipio","SANTA CRUZ DE TENERIFE","Actividad","CASAS RURALES","Categoría","EXCLUSIVO"),"-")</f>
        <v>-</v>
      </c>
      <c r="I59" s="589" t="str">
        <f t="shared" si="4"/>
        <v>-</v>
      </c>
    </row>
    <row r="60" spans="3:9" hidden="1">
      <c r="C60" s="587" t="s">
        <v>468</v>
      </c>
      <c r="D60" s="593" t="e">
        <f>GETPIVOTDATA("Suma de Plazas",'[1]tabla dinámica plazas cat'!$A$4,"NombreMunicipio","PUERTO DE LA CRUZ","Actividad","CASAS RURALES","Categoría","COMPARTIDO OTROS USUARIOS")</f>
        <v>#REF!</v>
      </c>
      <c r="E60" s="589" t="str">
        <f t="shared" si="3"/>
        <v>-</v>
      </c>
      <c r="F60" s="594"/>
      <c r="G60" s="587" t="s">
        <v>468</v>
      </c>
      <c r="H60" s="593" t="e">
        <f>GETPIVOTDATA("Suma de Plazas",'[1]tabla dinámica plazas cat'!$A$4,"NombreMunicipio","SANTA CRUZ DE TENERIFE","Actividad","CASAS RURALES","Categoría","COMPARTIDO OTROS USUARIOS")</f>
        <v>#REF!</v>
      </c>
      <c r="I60" s="589" t="str">
        <f t="shared" si="4"/>
        <v>-</v>
      </c>
    </row>
    <row r="61" spans="3:9" hidden="1">
      <c r="C61" s="587" t="s">
        <v>457</v>
      </c>
      <c r="D61" s="593" t="str">
        <f>IFERROR(GETPIVOTDATA("Suma de Plazas",'[1]tabla dinámica plazas cat'!$A$4,"NombreMunicipio","PUERTO DE LA CRUZ","Actividad","CASAS RURALES","Categoría","SIN DATO"),"-")</f>
        <v>-</v>
      </c>
      <c r="E61" s="589" t="str">
        <f t="shared" si="3"/>
        <v>-</v>
      </c>
      <c r="F61" s="565"/>
      <c r="G61" s="587" t="s">
        <v>457</v>
      </c>
      <c r="H61" s="593">
        <f>IFERROR(GETPIVOTDATA("Suma de Plazas",'[1]tabla dinámica plazas cat'!$A$4,"NombreMunicipio","SANTA CRUZ DE TENERIFE","Actividad","CASAS RURALES","Categoría","SIN DATO"),"-")</f>
        <v>0</v>
      </c>
      <c r="I61" s="589">
        <f t="shared" si="4"/>
        <v>0</v>
      </c>
    </row>
    <row r="62" spans="3:9" ht="30.75" customHeight="1">
      <c r="C62" s="595" t="s">
        <v>469</v>
      </c>
      <c r="D62" s="596"/>
      <c r="E62" s="597"/>
      <c r="F62" s="565"/>
      <c r="G62" s="595" t="s">
        <v>469</v>
      </c>
      <c r="H62" s="596"/>
      <c r="I62" s="597"/>
    </row>
    <row r="63" spans="3:9" ht="18" customHeight="1"/>
  </sheetData>
  <mergeCells count="8">
    <mergeCell ref="C62:E62"/>
    <mergeCell ref="G62:I62"/>
    <mergeCell ref="C6:E6"/>
    <mergeCell ref="G6:I6"/>
    <mergeCell ref="C33:E33"/>
    <mergeCell ref="G33:I33"/>
    <mergeCell ref="C35:E35"/>
    <mergeCell ref="G35:I35"/>
  </mergeCells>
  <hyperlinks>
    <hyperlink ref="K33" location="'Gráfica Distrib Plazas Autoriza'!Área_de_impresión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103.xml><?xml version="1.0" encoding="utf-8"?>
<worksheet xmlns="http://schemas.openxmlformats.org/spreadsheetml/2006/main" xmlns:r="http://schemas.openxmlformats.org/officeDocument/2006/relationships">
  <sheetPr codeName="Hoja67">
    <tabColor rgb="FF000099"/>
    <pageSetUpPr autoPageBreaks="0" fitToPage="1"/>
  </sheetPr>
  <dimension ref="B4:R65"/>
  <sheetViews>
    <sheetView showGridLines="0" showRowColHeaders="0" showOutlineSymbols="0" zoomScaleNormal="100" workbookViewId="0">
      <selection activeCell="B25" sqref="B25"/>
    </sheetView>
  </sheetViews>
  <sheetFormatPr baseColWidth="10" defaultRowHeight="12.75"/>
  <cols>
    <col min="1" max="1" width="15.7109375" style="2" customWidth="1"/>
    <col min="2" max="15" width="11.85546875" style="2" customWidth="1"/>
    <col min="16" max="256" width="11.42578125" style="2"/>
    <col min="257" max="257" width="15.7109375" style="2" customWidth="1"/>
    <col min="258" max="263" width="11.42578125" style="2"/>
    <col min="264" max="264" width="5.7109375" style="2" customWidth="1"/>
    <col min="265" max="512" width="11.42578125" style="2"/>
    <col min="513" max="513" width="15.7109375" style="2" customWidth="1"/>
    <col min="514" max="519" width="11.42578125" style="2"/>
    <col min="520" max="520" width="5.7109375" style="2" customWidth="1"/>
    <col min="521" max="768" width="11.42578125" style="2"/>
    <col min="769" max="769" width="15.7109375" style="2" customWidth="1"/>
    <col min="770" max="775" width="11.42578125" style="2"/>
    <col min="776" max="776" width="5.7109375" style="2" customWidth="1"/>
    <col min="777" max="1024" width="11.42578125" style="2"/>
    <col min="1025" max="1025" width="15.7109375" style="2" customWidth="1"/>
    <col min="1026" max="1031" width="11.42578125" style="2"/>
    <col min="1032" max="1032" width="5.7109375" style="2" customWidth="1"/>
    <col min="1033" max="1280" width="11.42578125" style="2"/>
    <col min="1281" max="1281" width="15.7109375" style="2" customWidth="1"/>
    <col min="1282" max="1287" width="11.42578125" style="2"/>
    <col min="1288" max="1288" width="5.7109375" style="2" customWidth="1"/>
    <col min="1289" max="1536" width="11.42578125" style="2"/>
    <col min="1537" max="1537" width="15.7109375" style="2" customWidth="1"/>
    <col min="1538" max="1543" width="11.42578125" style="2"/>
    <col min="1544" max="1544" width="5.7109375" style="2" customWidth="1"/>
    <col min="1545" max="1792" width="11.42578125" style="2"/>
    <col min="1793" max="1793" width="15.7109375" style="2" customWidth="1"/>
    <col min="1794" max="1799" width="11.42578125" style="2"/>
    <col min="1800" max="1800" width="5.7109375" style="2" customWidth="1"/>
    <col min="1801" max="2048" width="11.42578125" style="2"/>
    <col min="2049" max="2049" width="15.7109375" style="2" customWidth="1"/>
    <col min="2050" max="2055" width="11.42578125" style="2"/>
    <col min="2056" max="2056" width="5.7109375" style="2" customWidth="1"/>
    <col min="2057" max="2304" width="11.42578125" style="2"/>
    <col min="2305" max="2305" width="15.7109375" style="2" customWidth="1"/>
    <col min="2306" max="2311" width="11.42578125" style="2"/>
    <col min="2312" max="2312" width="5.7109375" style="2" customWidth="1"/>
    <col min="2313" max="2560" width="11.42578125" style="2"/>
    <col min="2561" max="2561" width="15.7109375" style="2" customWidth="1"/>
    <col min="2562" max="2567" width="11.42578125" style="2"/>
    <col min="2568" max="2568" width="5.7109375" style="2" customWidth="1"/>
    <col min="2569" max="2816" width="11.42578125" style="2"/>
    <col min="2817" max="2817" width="15.7109375" style="2" customWidth="1"/>
    <col min="2818" max="2823" width="11.42578125" style="2"/>
    <col min="2824" max="2824" width="5.7109375" style="2" customWidth="1"/>
    <col min="2825" max="3072" width="11.42578125" style="2"/>
    <col min="3073" max="3073" width="15.7109375" style="2" customWidth="1"/>
    <col min="3074" max="3079" width="11.42578125" style="2"/>
    <col min="3080" max="3080" width="5.7109375" style="2" customWidth="1"/>
    <col min="3081" max="3328" width="11.42578125" style="2"/>
    <col min="3329" max="3329" width="15.7109375" style="2" customWidth="1"/>
    <col min="3330" max="3335" width="11.42578125" style="2"/>
    <col min="3336" max="3336" width="5.7109375" style="2" customWidth="1"/>
    <col min="3337" max="3584" width="11.42578125" style="2"/>
    <col min="3585" max="3585" width="15.7109375" style="2" customWidth="1"/>
    <col min="3586" max="3591" width="11.42578125" style="2"/>
    <col min="3592" max="3592" width="5.7109375" style="2" customWidth="1"/>
    <col min="3593" max="3840" width="11.42578125" style="2"/>
    <col min="3841" max="3841" width="15.7109375" style="2" customWidth="1"/>
    <col min="3842" max="3847" width="11.42578125" style="2"/>
    <col min="3848" max="3848" width="5.7109375" style="2" customWidth="1"/>
    <col min="3849" max="4096" width="11.42578125" style="2"/>
    <col min="4097" max="4097" width="15.7109375" style="2" customWidth="1"/>
    <col min="4098" max="4103" width="11.42578125" style="2"/>
    <col min="4104" max="4104" width="5.7109375" style="2" customWidth="1"/>
    <col min="4105" max="4352" width="11.42578125" style="2"/>
    <col min="4353" max="4353" width="15.7109375" style="2" customWidth="1"/>
    <col min="4354" max="4359" width="11.42578125" style="2"/>
    <col min="4360" max="4360" width="5.7109375" style="2" customWidth="1"/>
    <col min="4361" max="4608" width="11.42578125" style="2"/>
    <col min="4609" max="4609" width="15.7109375" style="2" customWidth="1"/>
    <col min="4610" max="4615" width="11.42578125" style="2"/>
    <col min="4616" max="4616" width="5.7109375" style="2" customWidth="1"/>
    <col min="4617" max="4864" width="11.42578125" style="2"/>
    <col min="4865" max="4865" width="15.7109375" style="2" customWidth="1"/>
    <col min="4866" max="4871" width="11.42578125" style="2"/>
    <col min="4872" max="4872" width="5.7109375" style="2" customWidth="1"/>
    <col min="4873" max="5120" width="11.42578125" style="2"/>
    <col min="5121" max="5121" width="15.7109375" style="2" customWidth="1"/>
    <col min="5122" max="5127" width="11.42578125" style="2"/>
    <col min="5128" max="5128" width="5.7109375" style="2" customWidth="1"/>
    <col min="5129" max="5376" width="11.42578125" style="2"/>
    <col min="5377" max="5377" width="15.7109375" style="2" customWidth="1"/>
    <col min="5378" max="5383" width="11.42578125" style="2"/>
    <col min="5384" max="5384" width="5.7109375" style="2" customWidth="1"/>
    <col min="5385" max="5632" width="11.42578125" style="2"/>
    <col min="5633" max="5633" width="15.7109375" style="2" customWidth="1"/>
    <col min="5634" max="5639" width="11.42578125" style="2"/>
    <col min="5640" max="5640" width="5.7109375" style="2" customWidth="1"/>
    <col min="5641" max="5888" width="11.42578125" style="2"/>
    <col min="5889" max="5889" width="15.7109375" style="2" customWidth="1"/>
    <col min="5890" max="5895" width="11.42578125" style="2"/>
    <col min="5896" max="5896" width="5.7109375" style="2" customWidth="1"/>
    <col min="5897" max="6144" width="11.42578125" style="2"/>
    <col min="6145" max="6145" width="15.7109375" style="2" customWidth="1"/>
    <col min="6146" max="6151" width="11.42578125" style="2"/>
    <col min="6152" max="6152" width="5.7109375" style="2" customWidth="1"/>
    <col min="6153" max="6400" width="11.42578125" style="2"/>
    <col min="6401" max="6401" width="15.7109375" style="2" customWidth="1"/>
    <col min="6402" max="6407" width="11.42578125" style="2"/>
    <col min="6408" max="6408" width="5.7109375" style="2" customWidth="1"/>
    <col min="6409" max="6656" width="11.42578125" style="2"/>
    <col min="6657" max="6657" width="15.7109375" style="2" customWidth="1"/>
    <col min="6658" max="6663" width="11.42578125" style="2"/>
    <col min="6664" max="6664" width="5.7109375" style="2" customWidth="1"/>
    <col min="6665" max="6912" width="11.42578125" style="2"/>
    <col min="6913" max="6913" width="15.7109375" style="2" customWidth="1"/>
    <col min="6914" max="6919" width="11.42578125" style="2"/>
    <col min="6920" max="6920" width="5.7109375" style="2" customWidth="1"/>
    <col min="6921" max="7168" width="11.42578125" style="2"/>
    <col min="7169" max="7169" width="15.7109375" style="2" customWidth="1"/>
    <col min="7170" max="7175" width="11.42578125" style="2"/>
    <col min="7176" max="7176" width="5.7109375" style="2" customWidth="1"/>
    <col min="7177" max="7424" width="11.42578125" style="2"/>
    <col min="7425" max="7425" width="15.7109375" style="2" customWidth="1"/>
    <col min="7426" max="7431" width="11.42578125" style="2"/>
    <col min="7432" max="7432" width="5.7109375" style="2" customWidth="1"/>
    <col min="7433" max="7680" width="11.42578125" style="2"/>
    <col min="7681" max="7681" width="15.7109375" style="2" customWidth="1"/>
    <col min="7682" max="7687" width="11.42578125" style="2"/>
    <col min="7688" max="7688" width="5.7109375" style="2" customWidth="1"/>
    <col min="7689" max="7936" width="11.42578125" style="2"/>
    <col min="7937" max="7937" width="15.7109375" style="2" customWidth="1"/>
    <col min="7938" max="7943" width="11.42578125" style="2"/>
    <col min="7944" max="7944" width="5.7109375" style="2" customWidth="1"/>
    <col min="7945" max="8192" width="11.42578125" style="2"/>
    <col min="8193" max="8193" width="15.7109375" style="2" customWidth="1"/>
    <col min="8194" max="8199" width="11.42578125" style="2"/>
    <col min="8200" max="8200" width="5.7109375" style="2" customWidth="1"/>
    <col min="8201" max="8448" width="11.42578125" style="2"/>
    <col min="8449" max="8449" width="15.7109375" style="2" customWidth="1"/>
    <col min="8450" max="8455" width="11.42578125" style="2"/>
    <col min="8456" max="8456" width="5.7109375" style="2" customWidth="1"/>
    <col min="8457" max="8704" width="11.42578125" style="2"/>
    <col min="8705" max="8705" width="15.7109375" style="2" customWidth="1"/>
    <col min="8706" max="8711" width="11.42578125" style="2"/>
    <col min="8712" max="8712" width="5.7109375" style="2" customWidth="1"/>
    <col min="8713" max="8960" width="11.42578125" style="2"/>
    <col min="8961" max="8961" width="15.7109375" style="2" customWidth="1"/>
    <col min="8962" max="8967" width="11.42578125" style="2"/>
    <col min="8968" max="8968" width="5.7109375" style="2" customWidth="1"/>
    <col min="8969" max="9216" width="11.42578125" style="2"/>
    <col min="9217" max="9217" width="15.7109375" style="2" customWidth="1"/>
    <col min="9218" max="9223" width="11.42578125" style="2"/>
    <col min="9224" max="9224" width="5.7109375" style="2" customWidth="1"/>
    <col min="9225" max="9472" width="11.42578125" style="2"/>
    <col min="9473" max="9473" width="15.7109375" style="2" customWidth="1"/>
    <col min="9474" max="9479" width="11.42578125" style="2"/>
    <col min="9480" max="9480" width="5.7109375" style="2" customWidth="1"/>
    <col min="9481" max="9728" width="11.42578125" style="2"/>
    <col min="9729" max="9729" width="15.7109375" style="2" customWidth="1"/>
    <col min="9730" max="9735" width="11.42578125" style="2"/>
    <col min="9736" max="9736" width="5.7109375" style="2" customWidth="1"/>
    <col min="9737" max="9984" width="11.42578125" style="2"/>
    <col min="9985" max="9985" width="15.7109375" style="2" customWidth="1"/>
    <col min="9986" max="9991" width="11.42578125" style="2"/>
    <col min="9992" max="9992" width="5.7109375" style="2" customWidth="1"/>
    <col min="9993" max="10240" width="11.42578125" style="2"/>
    <col min="10241" max="10241" width="15.7109375" style="2" customWidth="1"/>
    <col min="10242" max="10247" width="11.42578125" style="2"/>
    <col min="10248" max="10248" width="5.7109375" style="2" customWidth="1"/>
    <col min="10249" max="10496" width="11.42578125" style="2"/>
    <col min="10497" max="10497" width="15.7109375" style="2" customWidth="1"/>
    <col min="10498" max="10503" width="11.42578125" style="2"/>
    <col min="10504" max="10504" width="5.7109375" style="2" customWidth="1"/>
    <col min="10505" max="10752" width="11.42578125" style="2"/>
    <col min="10753" max="10753" width="15.7109375" style="2" customWidth="1"/>
    <col min="10754" max="10759" width="11.42578125" style="2"/>
    <col min="10760" max="10760" width="5.7109375" style="2" customWidth="1"/>
    <col min="10761" max="11008" width="11.42578125" style="2"/>
    <col min="11009" max="11009" width="15.7109375" style="2" customWidth="1"/>
    <col min="11010" max="11015" width="11.42578125" style="2"/>
    <col min="11016" max="11016" width="5.7109375" style="2" customWidth="1"/>
    <col min="11017" max="11264" width="11.42578125" style="2"/>
    <col min="11265" max="11265" width="15.7109375" style="2" customWidth="1"/>
    <col min="11266" max="11271" width="11.42578125" style="2"/>
    <col min="11272" max="11272" width="5.7109375" style="2" customWidth="1"/>
    <col min="11273" max="11520" width="11.42578125" style="2"/>
    <col min="11521" max="11521" width="15.7109375" style="2" customWidth="1"/>
    <col min="11522" max="11527" width="11.42578125" style="2"/>
    <col min="11528" max="11528" width="5.7109375" style="2" customWidth="1"/>
    <col min="11529" max="11776" width="11.42578125" style="2"/>
    <col min="11777" max="11777" width="15.7109375" style="2" customWidth="1"/>
    <col min="11778" max="11783" width="11.42578125" style="2"/>
    <col min="11784" max="11784" width="5.7109375" style="2" customWidth="1"/>
    <col min="11785" max="12032" width="11.42578125" style="2"/>
    <col min="12033" max="12033" width="15.7109375" style="2" customWidth="1"/>
    <col min="12034" max="12039" width="11.42578125" style="2"/>
    <col min="12040" max="12040" width="5.7109375" style="2" customWidth="1"/>
    <col min="12041" max="12288" width="11.42578125" style="2"/>
    <col min="12289" max="12289" width="15.7109375" style="2" customWidth="1"/>
    <col min="12290" max="12295" width="11.42578125" style="2"/>
    <col min="12296" max="12296" width="5.7109375" style="2" customWidth="1"/>
    <col min="12297" max="12544" width="11.42578125" style="2"/>
    <col min="12545" max="12545" width="15.7109375" style="2" customWidth="1"/>
    <col min="12546" max="12551" width="11.42578125" style="2"/>
    <col min="12552" max="12552" width="5.7109375" style="2" customWidth="1"/>
    <col min="12553" max="12800" width="11.42578125" style="2"/>
    <col min="12801" max="12801" width="15.7109375" style="2" customWidth="1"/>
    <col min="12802" max="12807" width="11.42578125" style="2"/>
    <col min="12808" max="12808" width="5.7109375" style="2" customWidth="1"/>
    <col min="12809" max="13056" width="11.42578125" style="2"/>
    <col min="13057" max="13057" width="15.7109375" style="2" customWidth="1"/>
    <col min="13058" max="13063" width="11.42578125" style="2"/>
    <col min="13064" max="13064" width="5.7109375" style="2" customWidth="1"/>
    <col min="13065" max="13312" width="11.42578125" style="2"/>
    <col min="13313" max="13313" width="15.7109375" style="2" customWidth="1"/>
    <col min="13314" max="13319" width="11.42578125" style="2"/>
    <col min="13320" max="13320" width="5.7109375" style="2" customWidth="1"/>
    <col min="13321" max="13568" width="11.42578125" style="2"/>
    <col min="13569" max="13569" width="15.7109375" style="2" customWidth="1"/>
    <col min="13570" max="13575" width="11.42578125" style="2"/>
    <col min="13576" max="13576" width="5.7109375" style="2" customWidth="1"/>
    <col min="13577" max="13824" width="11.42578125" style="2"/>
    <col min="13825" max="13825" width="15.7109375" style="2" customWidth="1"/>
    <col min="13826" max="13831" width="11.42578125" style="2"/>
    <col min="13832" max="13832" width="5.7109375" style="2" customWidth="1"/>
    <col min="13833" max="14080" width="11.42578125" style="2"/>
    <col min="14081" max="14081" width="15.7109375" style="2" customWidth="1"/>
    <col min="14082" max="14087" width="11.42578125" style="2"/>
    <col min="14088" max="14088" width="5.7109375" style="2" customWidth="1"/>
    <col min="14089" max="14336" width="11.42578125" style="2"/>
    <col min="14337" max="14337" width="15.7109375" style="2" customWidth="1"/>
    <col min="14338" max="14343" width="11.42578125" style="2"/>
    <col min="14344" max="14344" width="5.7109375" style="2" customWidth="1"/>
    <col min="14345" max="14592" width="11.42578125" style="2"/>
    <col min="14593" max="14593" width="15.7109375" style="2" customWidth="1"/>
    <col min="14594" max="14599" width="11.42578125" style="2"/>
    <col min="14600" max="14600" width="5.7109375" style="2" customWidth="1"/>
    <col min="14601" max="14848" width="11.42578125" style="2"/>
    <col min="14849" max="14849" width="15.7109375" style="2" customWidth="1"/>
    <col min="14850" max="14855" width="11.42578125" style="2"/>
    <col min="14856" max="14856" width="5.7109375" style="2" customWidth="1"/>
    <col min="14857" max="15104" width="11.42578125" style="2"/>
    <col min="15105" max="15105" width="15.7109375" style="2" customWidth="1"/>
    <col min="15106" max="15111" width="11.42578125" style="2"/>
    <col min="15112" max="15112" width="5.7109375" style="2" customWidth="1"/>
    <col min="15113" max="15360" width="11.42578125" style="2"/>
    <col min="15361" max="15361" width="15.7109375" style="2" customWidth="1"/>
    <col min="15362" max="15367" width="11.42578125" style="2"/>
    <col min="15368" max="15368" width="5.7109375" style="2" customWidth="1"/>
    <col min="15369" max="15616" width="11.42578125" style="2"/>
    <col min="15617" max="15617" width="15.7109375" style="2" customWidth="1"/>
    <col min="15618" max="15623" width="11.42578125" style="2"/>
    <col min="15624" max="15624" width="5.7109375" style="2" customWidth="1"/>
    <col min="15625" max="15872" width="11.42578125" style="2"/>
    <col min="15873" max="15873" width="15.7109375" style="2" customWidth="1"/>
    <col min="15874" max="15879" width="11.42578125" style="2"/>
    <col min="15880" max="15880" width="5.7109375" style="2" customWidth="1"/>
    <col min="15881" max="16128" width="11.42578125" style="2"/>
    <col min="16129" max="16129" width="15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4" ht="14.2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spans="2:18" ht="14.25" customHeight="1"/>
    <row r="18" spans="2:18" ht="14.25" customHeight="1"/>
    <row r="19" spans="2:18" ht="14.25" customHeight="1"/>
    <row r="20" spans="2:18" ht="14.25" customHeight="1"/>
    <row r="21" spans="2:18" ht="14.25" customHeight="1"/>
    <row r="22" spans="2:18" ht="14.25" customHeight="1"/>
    <row r="23" spans="2:18" ht="14.25" customHeight="1"/>
    <row r="24" spans="2:18" ht="14.25" customHeight="1"/>
    <row r="25" spans="2:18" ht="14.25" customHeight="1"/>
    <row r="26" spans="2:18" ht="14.25" customHeight="1"/>
    <row r="27" spans="2:18" ht="14.25" customHeight="1"/>
    <row r="28" spans="2:18" ht="14.25" customHeight="1">
      <c r="B28" s="12"/>
      <c r="C28" s="12"/>
      <c r="D28" s="12"/>
      <c r="E28" s="12"/>
      <c r="F28" s="12"/>
      <c r="G28" s="12"/>
      <c r="I28" s="12"/>
      <c r="J28" s="12"/>
      <c r="K28" s="12"/>
      <c r="L28" s="12"/>
    </row>
    <row r="29" spans="2:18" ht="14.25" customHeight="1" thickBot="1"/>
    <row r="30" spans="2:18" ht="14.25" customHeight="1" thickBot="1">
      <c r="R30" s="60" t="s">
        <v>51</v>
      </c>
    </row>
    <row r="31" spans="2:18" ht="14.25" customHeight="1"/>
    <row r="32" spans="2:18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</sheetData>
  <hyperlinks>
    <hyperlink ref="R30" location="'Distrib Plazas Autor 03_04-05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104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activeCell="B25" sqref="B25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598" t="s">
        <v>93</v>
      </c>
      <c r="B1" s="599" t="s">
        <v>107</v>
      </c>
      <c r="D1" s="600" t="s">
        <v>411</v>
      </c>
      <c r="F1" s="600" t="s">
        <v>411</v>
      </c>
    </row>
    <row r="2" spans="1:6">
      <c r="A2" s="601"/>
      <c r="B2" s="602" t="s">
        <v>242</v>
      </c>
      <c r="D2" s="600" t="s">
        <v>412</v>
      </c>
      <c r="F2" s="600" t="s">
        <v>472</v>
      </c>
    </row>
    <row r="3" spans="1:6">
      <c r="A3" s="603"/>
      <c r="B3" s="604" t="s">
        <v>248</v>
      </c>
      <c r="D3" s="600" t="s">
        <v>118</v>
      </c>
      <c r="F3" s="600" t="s">
        <v>473</v>
      </c>
    </row>
    <row r="4" spans="1:6">
      <c r="A4" s="598" t="s">
        <v>88</v>
      </c>
      <c r="B4" s="599" t="s">
        <v>107</v>
      </c>
      <c r="D4" s="600" t="s">
        <v>413</v>
      </c>
      <c r="F4" s="600" t="s">
        <v>474</v>
      </c>
    </row>
    <row r="5" spans="1:6">
      <c r="A5" s="601"/>
      <c r="B5" s="602" t="s">
        <v>242</v>
      </c>
      <c r="D5" s="600" t="s">
        <v>414</v>
      </c>
      <c r="F5" s="600"/>
    </row>
    <row r="6" spans="1:6">
      <c r="A6" s="603"/>
      <c r="B6" s="604" t="s">
        <v>248</v>
      </c>
    </row>
    <row r="7" spans="1:6">
      <c r="A7" s="598" t="s">
        <v>89</v>
      </c>
      <c r="B7" s="599" t="s">
        <v>107</v>
      </c>
    </row>
    <row r="8" spans="1:6">
      <c r="A8" s="601"/>
      <c r="B8" s="602" t="s">
        <v>242</v>
      </c>
      <c r="D8" s="605" t="s">
        <v>475</v>
      </c>
    </row>
    <row r="9" spans="1:6">
      <c r="A9" s="603"/>
      <c r="B9" s="604" t="s">
        <v>248</v>
      </c>
      <c r="D9" s="605" t="s">
        <v>476</v>
      </c>
    </row>
    <row r="10" spans="1:6">
      <c r="A10" s="598" t="s">
        <v>349</v>
      </c>
      <c r="B10" s="599" t="s">
        <v>107</v>
      </c>
      <c r="D10" s="605" t="s">
        <v>477</v>
      </c>
    </row>
    <row r="11" spans="1:6">
      <c r="A11" s="601"/>
      <c r="B11" s="602" t="s">
        <v>242</v>
      </c>
      <c r="D11" s="605" t="s">
        <v>478</v>
      </c>
    </row>
    <row r="12" spans="1:6">
      <c r="A12" s="603"/>
      <c r="B12" s="604" t="s">
        <v>248</v>
      </c>
      <c r="D12" s="605" t="s">
        <v>479</v>
      </c>
      <c r="F12" s="2">
        <v>2001</v>
      </c>
    </row>
    <row r="13" spans="1:6">
      <c r="A13" s="598" t="s">
        <v>350</v>
      </c>
      <c r="B13" s="599" t="s">
        <v>107</v>
      </c>
      <c r="D13" s="605" t="s">
        <v>480</v>
      </c>
      <c r="F13" s="2">
        <v>2002</v>
      </c>
    </row>
    <row r="14" spans="1:6">
      <c r="A14" s="601"/>
      <c r="B14" s="602" t="s">
        <v>242</v>
      </c>
      <c r="F14" s="2">
        <v>2003</v>
      </c>
    </row>
    <row r="15" spans="1:6">
      <c r="A15" s="601"/>
      <c r="B15" s="604" t="s">
        <v>248</v>
      </c>
      <c r="F15" s="2">
        <v>2004</v>
      </c>
    </row>
    <row r="18" spans="1:21">
      <c r="A18" s="606" t="s">
        <v>481</v>
      </c>
      <c r="B18" s="607" t="s">
        <v>89</v>
      </c>
    </row>
    <row r="19" spans="1:21">
      <c r="A19" s="608"/>
      <c r="B19" s="609" t="s">
        <v>482</v>
      </c>
    </row>
    <row r="20" spans="1:21">
      <c r="A20" s="606" t="s">
        <v>483</v>
      </c>
      <c r="B20" s="607" t="s">
        <v>89</v>
      </c>
    </row>
    <row r="21" spans="1:21">
      <c r="A21" s="608"/>
      <c r="B21" s="609" t="s">
        <v>482</v>
      </c>
    </row>
    <row r="22" spans="1:21">
      <c r="A22" s="606" t="s">
        <v>484</v>
      </c>
      <c r="B22" s="607" t="s">
        <v>89</v>
      </c>
    </row>
    <row r="23" spans="1:21">
      <c r="A23" s="608"/>
      <c r="B23" s="609" t="s">
        <v>482</v>
      </c>
    </row>
    <row r="25" spans="1:21">
      <c r="A25" s="598" t="s">
        <v>93</v>
      </c>
      <c r="B25" s="599" t="s">
        <v>107</v>
      </c>
      <c r="D25" s="598" t="s">
        <v>93</v>
      </c>
      <c r="E25" s="599" t="s">
        <v>107</v>
      </c>
    </row>
    <row r="26" spans="1:21">
      <c r="A26" s="601"/>
      <c r="B26" s="602" t="s">
        <v>242</v>
      </c>
      <c r="D26" s="601"/>
      <c r="E26" s="602" t="s">
        <v>242</v>
      </c>
    </row>
    <row r="27" spans="1:21">
      <c r="A27" s="603"/>
      <c r="B27" s="604" t="s">
        <v>248</v>
      </c>
      <c r="D27" s="603"/>
      <c r="E27" s="604" t="s">
        <v>248</v>
      </c>
    </row>
    <row r="28" spans="1:21">
      <c r="A28" s="598" t="s">
        <v>347</v>
      </c>
      <c r="B28" s="599" t="s">
        <v>107</v>
      </c>
      <c r="D28" s="598" t="s">
        <v>89</v>
      </c>
      <c r="E28" s="599" t="s">
        <v>107</v>
      </c>
    </row>
    <row r="29" spans="1:21">
      <c r="A29" s="601"/>
      <c r="B29" s="602" t="s">
        <v>242</v>
      </c>
      <c r="D29" s="601"/>
      <c r="E29" s="602" t="s">
        <v>242</v>
      </c>
    </row>
    <row r="30" spans="1:21">
      <c r="A30" s="603"/>
      <c r="B30" s="604" t="s">
        <v>248</v>
      </c>
      <c r="D30" s="603"/>
      <c r="E30" s="604" t="s">
        <v>248</v>
      </c>
    </row>
    <row r="31" spans="1:21">
      <c r="A31" s="598" t="s">
        <v>348</v>
      </c>
      <c r="B31" s="599" t="s">
        <v>107</v>
      </c>
      <c r="D31" s="598" t="s">
        <v>305</v>
      </c>
      <c r="E31" s="599" t="s">
        <v>107</v>
      </c>
      <c r="G31" s="610" t="s">
        <v>93</v>
      </c>
      <c r="H31" s="610"/>
      <c r="I31" s="610"/>
      <c r="J31" s="610" t="s">
        <v>347</v>
      </c>
      <c r="K31" s="610"/>
      <c r="L31" s="610"/>
      <c r="M31" s="610" t="s">
        <v>348</v>
      </c>
      <c r="N31" s="610"/>
      <c r="O31" s="610"/>
      <c r="P31" s="610" t="s">
        <v>349</v>
      </c>
      <c r="Q31" s="610"/>
      <c r="R31" s="610"/>
      <c r="S31" s="610" t="s">
        <v>350</v>
      </c>
      <c r="T31" s="610"/>
      <c r="U31" s="610"/>
    </row>
    <row r="32" spans="1:21">
      <c r="A32" s="601"/>
      <c r="B32" s="602" t="s">
        <v>242</v>
      </c>
      <c r="D32" s="601"/>
      <c r="E32" s="602" t="s">
        <v>242</v>
      </c>
      <c r="G32" s="2" t="s">
        <v>107</v>
      </c>
      <c r="H32" s="2" t="s">
        <v>242</v>
      </c>
      <c r="I32" s="2" t="s">
        <v>248</v>
      </c>
      <c r="J32" s="2" t="s">
        <v>107</v>
      </c>
      <c r="K32" s="2" t="s">
        <v>242</v>
      </c>
      <c r="L32" s="2" t="s">
        <v>248</v>
      </c>
      <c r="M32" s="2" t="s">
        <v>107</v>
      </c>
      <c r="N32" s="2" t="s">
        <v>242</v>
      </c>
      <c r="O32" s="2" t="s">
        <v>248</v>
      </c>
      <c r="P32" s="2" t="s">
        <v>107</v>
      </c>
      <c r="Q32" s="2" t="s">
        <v>242</v>
      </c>
      <c r="R32" s="2" t="s">
        <v>248</v>
      </c>
      <c r="S32" s="2" t="s">
        <v>107</v>
      </c>
      <c r="T32" s="2" t="s">
        <v>242</v>
      </c>
      <c r="U32" s="2" t="s">
        <v>248</v>
      </c>
    </row>
    <row r="33" spans="1:5">
      <c r="A33" s="603"/>
      <c r="B33" s="604" t="s">
        <v>248</v>
      </c>
      <c r="D33" s="601"/>
      <c r="E33" s="604" t="s">
        <v>248</v>
      </c>
    </row>
    <row r="34" spans="1:5">
      <c r="A34" s="598" t="s">
        <v>349</v>
      </c>
      <c r="B34" s="599" t="s">
        <v>107</v>
      </c>
      <c r="D34" s="598" t="s">
        <v>306</v>
      </c>
      <c r="E34" s="599" t="s">
        <v>107</v>
      </c>
    </row>
    <row r="35" spans="1:5">
      <c r="A35" s="601"/>
      <c r="B35" s="602" t="s">
        <v>242</v>
      </c>
      <c r="D35" s="601"/>
      <c r="E35" s="602" t="s">
        <v>242</v>
      </c>
    </row>
    <row r="36" spans="1:5">
      <c r="A36" s="603"/>
      <c r="B36" s="604" t="s">
        <v>248</v>
      </c>
      <c r="D36" s="601"/>
      <c r="E36" s="604" t="s">
        <v>248</v>
      </c>
    </row>
    <row r="37" spans="1:5">
      <c r="A37" s="598" t="s">
        <v>306</v>
      </c>
      <c r="B37" s="599" t="s">
        <v>107</v>
      </c>
      <c r="D37" s="598" t="s">
        <v>307</v>
      </c>
      <c r="E37" s="599" t="s">
        <v>107</v>
      </c>
    </row>
    <row r="38" spans="1:5">
      <c r="A38" s="601"/>
      <c r="B38" s="602" t="s">
        <v>242</v>
      </c>
      <c r="D38" s="601"/>
      <c r="E38" s="602" t="s">
        <v>242</v>
      </c>
    </row>
    <row r="39" spans="1:5">
      <c r="A39" s="601"/>
      <c r="B39" s="604" t="s">
        <v>248</v>
      </c>
      <c r="D39" s="603"/>
      <c r="E39" s="604" t="s">
        <v>248</v>
      </c>
    </row>
    <row r="40" spans="1:5">
      <c r="A40" s="598" t="s">
        <v>350</v>
      </c>
      <c r="B40" s="599" t="s">
        <v>107</v>
      </c>
    </row>
    <row r="41" spans="1:5">
      <c r="A41" s="601"/>
      <c r="B41" s="602" t="s">
        <v>242</v>
      </c>
    </row>
    <row r="42" spans="1:5">
      <c r="A42" s="601"/>
      <c r="B42" s="604" t="s">
        <v>248</v>
      </c>
    </row>
    <row r="43" spans="1:5">
      <c r="A43" s="598" t="s">
        <v>89</v>
      </c>
      <c r="B43" s="599" t="s">
        <v>107</v>
      </c>
    </row>
    <row r="44" spans="1:5">
      <c r="A44" s="601"/>
      <c r="B44" s="602" t="s">
        <v>242</v>
      </c>
    </row>
    <row r="45" spans="1:5">
      <c r="A45" s="601"/>
      <c r="B45" s="604" t="s">
        <v>248</v>
      </c>
    </row>
    <row r="46" spans="1:5">
      <c r="A46" s="598" t="s">
        <v>305</v>
      </c>
      <c r="B46" s="599" t="s">
        <v>107</v>
      </c>
    </row>
    <row r="47" spans="1:5">
      <c r="A47" s="601"/>
      <c r="B47" s="602" t="s">
        <v>242</v>
      </c>
    </row>
    <row r="48" spans="1:5">
      <c r="A48" s="601"/>
      <c r="B48" s="604" t="s">
        <v>248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105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9"/>
  <sheetViews>
    <sheetView zoomScaleNormal="100" workbookViewId="0">
      <selection activeCell="B25" sqref="B25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23" t="s">
        <v>485</v>
      </c>
    </row>
    <row r="3" spans="1:9">
      <c r="A3" s="23" t="s">
        <v>486</v>
      </c>
    </row>
    <row r="4" spans="1:9">
      <c r="A4" s="23" t="s">
        <v>487</v>
      </c>
      <c r="B4" s="23" t="s">
        <v>488</v>
      </c>
    </row>
    <row r="5" spans="1:9">
      <c r="A5" s="23" t="s">
        <v>489</v>
      </c>
      <c r="B5" s="23" t="s">
        <v>490</v>
      </c>
    </row>
    <row r="6" spans="1:9">
      <c r="A6" s="2" t="s">
        <v>491</v>
      </c>
    </row>
    <row r="7" spans="1:9">
      <c r="A7" s="611" t="s">
        <v>492</v>
      </c>
    </row>
    <row r="8" spans="1:9" ht="54.75" customHeight="1">
      <c r="A8" s="612" t="s">
        <v>493</v>
      </c>
      <c r="B8" s="613"/>
      <c r="C8" s="613"/>
      <c r="D8" s="613"/>
      <c r="E8" s="613"/>
      <c r="F8" s="613"/>
      <c r="G8" s="614"/>
      <c r="I8" s="615" t="s">
        <v>494</v>
      </c>
    </row>
    <row r="9" spans="1:9" ht="14.25">
      <c r="I9" s="616" t="s">
        <v>495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3:L20"/>
  <sheetViews>
    <sheetView showGridLines="0" showRowColHeaders="0" showOutlineSymbols="0" zoomScaleNormal="100" workbookViewId="0">
      <selection activeCell="B25" sqref="B25"/>
    </sheetView>
  </sheetViews>
  <sheetFormatPr baseColWidth="10" defaultRowHeight="12.75"/>
  <cols>
    <col min="1" max="2" width="11.42578125" style="23"/>
    <col min="3" max="3" width="36.7109375" style="23" customWidth="1"/>
    <col min="4" max="4" width="12.7109375" style="23" customWidth="1"/>
    <col min="5" max="5" width="10.7109375" style="23" customWidth="1"/>
    <col min="6" max="6" width="12.7109375" style="23" customWidth="1"/>
    <col min="7" max="8" width="10.7109375" style="23" customWidth="1"/>
    <col min="9" max="15" width="11.42578125" style="23"/>
    <col min="16" max="16" width="13.28515625" style="23" customWidth="1"/>
    <col min="17" max="258" width="11.42578125" style="23"/>
    <col min="259" max="259" width="36.7109375" style="23" customWidth="1"/>
    <col min="260" max="260" width="12.7109375" style="23" customWidth="1"/>
    <col min="261" max="261" width="10.7109375" style="23" customWidth="1"/>
    <col min="262" max="262" width="12.7109375" style="23" customWidth="1"/>
    <col min="263" max="264" width="10.7109375" style="23" customWidth="1"/>
    <col min="265" max="271" width="11.42578125" style="23"/>
    <col min="272" max="272" width="13.28515625" style="23" customWidth="1"/>
    <col min="273" max="514" width="11.42578125" style="23"/>
    <col min="515" max="515" width="36.7109375" style="23" customWidth="1"/>
    <col min="516" max="516" width="12.7109375" style="23" customWidth="1"/>
    <col min="517" max="517" width="10.7109375" style="23" customWidth="1"/>
    <col min="518" max="518" width="12.7109375" style="23" customWidth="1"/>
    <col min="519" max="520" width="10.7109375" style="23" customWidth="1"/>
    <col min="521" max="527" width="11.42578125" style="23"/>
    <col min="528" max="528" width="13.28515625" style="23" customWidth="1"/>
    <col min="529" max="770" width="11.42578125" style="23"/>
    <col min="771" max="771" width="36.7109375" style="23" customWidth="1"/>
    <col min="772" max="772" width="12.7109375" style="23" customWidth="1"/>
    <col min="773" max="773" width="10.7109375" style="23" customWidth="1"/>
    <col min="774" max="774" width="12.7109375" style="23" customWidth="1"/>
    <col min="775" max="776" width="10.7109375" style="23" customWidth="1"/>
    <col min="777" max="783" width="11.42578125" style="23"/>
    <col min="784" max="784" width="13.28515625" style="23" customWidth="1"/>
    <col min="785" max="1026" width="11.42578125" style="23"/>
    <col min="1027" max="1027" width="36.7109375" style="23" customWidth="1"/>
    <col min="1028" max="1028" width="12.7109375" style="23" customWidth="1"/>
    <col min="1029" max="1029" width="10.7109375" style="23" customWidth="1"/>
    <col min="1030" max="1030" width="12.7109375" style="23" customWidth="1"/>
    <col min="1031" max="1032" width="10.7109375" style="23" customWidth="1"/>
    <col min="1033" max="1039" width="11.42578125" style="23"/>
    <col min="1040" max="1040" width="13.28515625" style="23" customWidth="1"/>
    <col min="1041" max="1282" width="11.42578125" style="23"/>
    <col min="1283" max="1283" width="36.7109375" style="23" customWidth="1"/>
    <col min="1284" max="1284" width="12.7109375" style="23" customWidth="1"/>
    <col min="1285" max="1285" width="10.7109375" style="23" customWidth="1"/>
    <col min="1286" max="1286" width="12.7109375" style="23" customWidth="1"/>
    <col min="1287" max="1288" width="10.7109375" style="23" customWidth="1"/>
    <col min="1289" max="1295" width="11.42578125" style="23"/>
    <col min="1296" max="1296" width="13.28515625" style="23" customWidth="1"/>
    <col min="1297" max="1538" width="11.42578125" style="23"/>
    <col min="1539" max="1539" width="36.7109375" style="23" customWidth="1"/>
    <col min="1540" max="1540" width="12.7109375" style="23" customWidth="1"/>
    <col min="1541" max="1541" width="10.7109375" style="23" customWidth="1"/>
    <col min="1542" max="1542" width="12.7109375" style="23" customWidth="1"/>
    <col min="1543" max="1544" width="10.7109375" style="23" customWidth="1"/>
    <col min="1545" max="1551" width="11.42578125" style="23"/>
    <col min="1552" max="1552" width="13.28515625" style="23" customWidth="1"/>
    <col min="1553" max="1794" width="11.42578125" style="23"/>
    <col min="1795" max="1795" width="36.7109375" style="23" customWidth="1"/>
    <col min="1796" max="1796" width="12.7109375" style="23" customWidth="1"/>
    <col min="1797" max="1797" width="10.7109375" style="23" customWidth="1"/>
    <col min="1798" max="1798" width="12.7109375" style="23" customWidth="1"/>
    <col min="1799" max="1800" width="10.7109375" style="23" customWidth="1"/>
    <col min="1801" max="1807" width="11.42578125" style="23"/>
    <col min="1808" max="1808" width="13.28515625" style="23" customWidth="1"/>
    <col min="1809" max="2050" width="11.42578125" style="23"/>
    <col min="2051" max="2051" width="36.7109375" style="23" customWidth="1"/>
    <col min="2052" max="2052" width="12.7109375" style="23" customWidth="1"/>
    <col min="2053" max="2053" width="10.7109375" style="23" customWidth="1"/>
    <col min="2054" max="2054" width="12.7109375" style="23" customWidth="1"/>
    <col min="2055" max="2056" width="10.7109375" style="23" customWidth="1"/>
    <col min="2057" max="2063" width="11.42578125" style="23"/>
    <col min="2064" max="2064" width="13.28515625" style="23" customWidth="1"/>
    <col min="2065" max="2306" width="11.42578125" style="23"/>
    <col min="2307" max="2307" width="36.7109375" style="23" customWidth="1"/>
    <col min="2308" max="2308" width="12.7109375" style="23" customWidth="1"/>
    <col min="2309" max="2309" width="10.7109375" style="23" customWidth="1"/>
    <col min="2310" max="2310" width="12.7109375" style="23" customWidth="1"/>
    <col min="2311" max="2312" width="10.7109375" style="23" customWidth="1"/>
    <col min="2313" max="2319" width="11.42578125" style="23"/>
    <col min="2320" max="2320" width="13.28515625" style="23" customWidth="1"/>
    <col min="2321" max="2562" width="11.42578125" style="23"/>
    <col min="2563" max="2563" width="36.7109375" style="23" customWidth="1"/>
    <col min="2564" max="2564" width="12.7109375" style="23" customWidth="1"/>
    <col min="2565" max="2565" width="10.7109375" style="23" customWidth="1"/>
    <col min="2566" max="2566" width="12.7109375" style="23" customWidth="1"/>
    <col min="2567" max="2568" width="10.7109375" style="23" customWidth="1"/>
    <col min="2569" max="2575" width="11.42578125" style="23"/>
    <col min="2576" max="2576" width="13.28515625" style="23" customWidth="1"/>
    <col min="2577" max="2818" width="11.42578125" style="23"/>
    <col min="2819" max="2819" width="36.7109375" style="23" customWidth="1"/>
    <col min="2820" max="2820" width="12.7109375" style="23" customWidth="1"/>
    <col min="2821" max="2821" width="10.7109375" style="23" customWidth="1"/>
    <col min="2822" max="2822" width="12.7109375" style="23" customWidth="1"/>
    <col min="2823" max="2824" width="10.7109375" style="23" customWidth="1"/>
    <col min="2825" max="2831" width="11.42578125" style="23"/>
    <col min="2832" max="2832" width="13.28515625" style="23" customWidth="1"/>
    <col min="2833" max="3074" width="11.42578125" style="23"/>
    <col min="3075" max="3075" width="36.7109375" style="23" customWidth="1"/>
    <col min="3076" max="3076" width="12.7109375" style="23" customWidth="1"/>
    <col min="3077" max="3077" width="10.7109375" style="23" customWidth="1"/>
    <col min="3078" max="3078" width="12.7109375" style="23" customWidth="1"/>
    <col min="3079" max="3080" width="10.7109375" style="23" customWidth="1"/>
    <col min="3081" max="3087" width="11.42578125" style="23"/>
    <col min="3088" max="3088" width="13.28515625" style="23" customWidth="1"/>
    <col min="3089" max="3330" width="11.42578125" style="23"/>
    <col min="3331" max="3331" width="36.7109375" style="23" customWidth="1"/>
    <col min="3332" max="3332" width="12.7109375" style="23" customWidth="1"/>
    <col min="3333" max="3333" width="10.7109375" style="23" customWidth="1"/>
    <col min="3334" max="3334" width="12.7109375" style="23" customWidth="1"/>
    <col min="3335" max="3336" width="10.7109375" style="23" customWidth="1"/>
    <col min="3337" max="3343" width="11.42578125" style="23"/>
    <col min="3344" max="3344" width="13.28515625" style="23" customWidth="1"/>
    <col min="3345" max="3586" width="11.42578125" style="23"/>
    <col min="3587" max="3587" width="36.7109375" style="23" customWidth="1"/>
    <col min="3588" max="3588" width="12.7109375" style="23" customWidth="1"/>
    <col min="3589" max="3589" width="10.7109375" style="23" customWidth="1"/>
    <col min="3590" max="3590" width="12.7109375" style="23" customWidth="1"/>
    <col min="3591" max="3592" width="10.7109375" style="23" customWidth="1"/>
    <col min="3593" max="3599" width="11.42578125" style="23"/>
    <col min="3600" max="3600" width="13.28515625" style="23" customWidth="1"/>
    <col min="3601" max="3842" width="11.42578125" style="23"/>
    <col min="3843" max="3843" width="36.7109375" style="23" customWidth="1"/>
    <col min="3844" max="3844" width="12.7109375" style="23" customWidth="1"/>
    <col min="3845" max="3845" width="10.7109375" style="23" customWidth="1"/>
    <col min="3846" max="3846" width="12.7109375" style="23" customWidth="1"/>
    <col min="3847" max="3848" width="10.7109375" style="23" customWidth="1"/>
    <col min="3849" max="3855" width="11.42578125" style="23"/>
    <col min="3856" max="3856" width="13.28515625" style="23" customWidth="1"/>
    <col min="3857" max="4098" width="11.42578125" style="23"/>
    <col min="4099" max="4099" width="36.7109375" style="23" customWidth="1"/>
    <col min="4100" max="4100" width="12.7109375" style="23" customWidth="1"/>
    <col min="4101" max="4101" width="10.7109375" style="23" customWidth="1"/>
    <col min="4102" max="4102" width="12.7109375" style="23" customWidth="1"/>
    <col min="4103" max="4104" width="10.7109375" style="23" customWidth="1"/>
    <col min="4105" max="4111" width="11.42578125" style="23"/>
    <col min="4112" max="4112" width="13.28515625" style="23" customWidth="1"/>
    <col min="4113" max="4354" width="11.42578125" style="23"/>
    <col min="4355" max="4355" width="36.7109375" style="23" customWidth="1"/>
    <col min="4356" max="4356" width="12.7109375" style="23" customWidth="1"/>
    <col min="4357" max="4357" width="10.7109375" style="23" customWidth="1"/>
    <col min="4358" max="4358" width="12.7109375" style="23" customWidth="1"/>
    <col min="4359" max="4360" width="10.7109375" style="23" customWidth="1"/>
    <col min="4361" max="4367" width="11.42578125" style="23"/>
    <col min="4368" max="4368" width="13.28515625" style="23" customWidth="1"/>
    <col min="4369" max="4610" width="11.42578125" style="23"/>
    <col min="4611" max="4611" width="36.7109375" style="23" customWidth="1"/>
    <col min="4612" max="4612" width="12.7109375" style="23" customWidth="1"/>
    <col min="4613" max="4613" width="10.7109375" style="23" customWidth="1"/>
    <col min="4614" max="4614" width="12.7109375" style="23" customWidth="1"/>
    <col min="4615" max="4616" width="10.7109375" style="23" customWidth="1"/>
    <col min="4617" max="4623" width="11.42578125" style="23"/>
    <col min="4624" max="4624" width="13.28515625" style="23" customWidth="1"/>
    <col min="4625" max="4866" width="11.42578125" style="23"/>
    <col min="4867" max="4867" width="36.7109375" style="23" customWidth="1"/>
    <col min="4868" max="4868" width="12.7109375" style="23" customWidth="1"/>
    <col min="4869" max="4869" width="10.7109375" style="23" customWidth="1"/>
    <col min="4870" max="4870" width="12.7109375" style="23" customWidth="1"/>
    <col min="4871" max="4872" width="10.7109375" style="23" customWidth="1"/>
    <col min="4873" max="4879" width="11.42578125" style="23"/>
    <col min="4880" max="4880" width="13.28515625" style="23" customWidth="1"/>
    <col min="4881" max="5122" width="11.42578125" style="23"/>
    <col min="5123" max="5123" width="36.7109375" style="23" customWidth="1"/>
    <col min="5124" max="5124" width="12.7109375" style="23" customWidth="1"/>
    <col min="5125" max="5125" width="10.7109375" style="23" customWidth="1"/>
    <col min="5126" max="5126" width="12.7109375" style="23" customWidth="1"/>
    <col min="5127" max="5128" width="10.7109375" style="23" customWidth="1"/>
    <col min="5129" max="5135" width="11.42578125" style="23"/>
    <col min="5136" max="5136" width="13.28515625" style="23" customWidth="1"/>
    <col min="5137" max="5378" width="11.42578125" style="23"/>
    <col min="5379" max="5379" width="36.7109375" style="23" customWidth="1"/>
    <col min="5380" max="5380" width="12.7109375" style="23" customWidth="1"/>
    <col min="5381" max="5381" width="10.7109375" style="23" customWidth="1"/>
    <col min="5382" max="5382" width="12.7109375" style="23" customWidth="1"/>
    <col min="5383" max="5384" width="10.7109375" style="23" customWidth="1"/>
    <col min="5385" max="5391" width="11.42578125" style="23"/>
    <col min="5392" max="5392" width="13.28515625" style="23" customWidth="1"/>
    <col min="5393" max="5634" width="11.42578125" style="23"/>
    <col min="5635" max="5635" width="36.7109375" style="23" customWidth="1"/>
    <col min="5636" max="5636" width="12.7109375" style="23" customWidth="1"/>
    <col min="5637" max="5637" width="10.7109375" style="23" customWidth="1"/>
    <col min="5638" max="5638" width="12.7109375" style="23" customWidth="1"/>
    <col min="5639" max="5640" width="10.7109375" style="23" customWidth="1"/>
    <col min="5641" max="5647" width="11.42578125" style="23"/>
    <col min="5648" max="5648" width="13.28515625" style="23" customWidth="1"/>
    <col min="5649" max="5890" width="11.42578125" style="23"/>
    <col min="5891" max="5891" width="36.7109375" style="23" customWidth="1"/>
    <col min="5892" max="5892" width="12.7109375" style="23" customWidth="1"/>
    <col min="5893" max="5893" width="10.7109375" style="23" customWidth="1"/>
    <col min="5894" max="5894" width="12.7109375" style="23" customWidth="1"/>
    <col min="5895" max="5896" width="10.7109375" style="23" customWidth="1"/>
    <col min="5897" max="5903" width="11.42578125" style="23"/>
    <col min="5904" max="5904" width="13.28515625" style="23" customWidth="1"/>
    <col min="5905" max="6146" width="11.42578125" style="23"/>
    <col min="6147" max="6147" width="36.7109375" style="23" customWidth="1"/>
    <col min="6148" max="6148" width="12.7109375" style="23" customWidth="1"/>
    <col min="6149" max="6149" width="10.7109375" style="23" customWidth="1"/>
    <col min="6150" max="6150" width="12.7109375" style="23" customWidth="1"/>
    <col min="6151" max="6152" width="10.7109375" style="23" customWidth="1"/>
    <col min="6153" max="6159" width="11.42578125" style="23"/>
    <col min="6160" max="6160" width="13.28515625" style="23" customWidth="1"/>
    <col min="6161" max="6402" width="11.42578125" style="23"/>
    <col min="6403" max="6403" width="36.7109375" style="23" customWidth="1"/>
    <col min="6404" max="6404" width="12.7109375" style="23" customWidth="1"/>
    <col min="6405" max="6405" width="10.7109375" style="23" customWidth="1"/>
    <col min="6406" max="6406" width="12.7109375" style="23" customWidth="1"/>
    <col min="6407" max="6408" width="10.7109375" style="23" customWidth="1"/>
    <col min="6409" max="6415" width="11.42578125" style="23"/>
    <col min="6416" max="6416" width="13.28515625" style="23" customWidth="1"/>
    <col min="6417" max="6658" width="11.42578125" style="23"/>
    <col min="6659" max="6659" width="36.7109375" style="23" customWidth="1"/>
    <col min="6660" max="6660" width="12.7109375" style="23" customWidth="1"/>
    <col min="6661" max="6661" width="10.7109375" style="23" customWidth="1"/>
    <col min="6662" max="6662" width="12.7109375" style="23" customWidth="1"/>
    <col min="6663" max="6664" width="10.7109375" style="23" customWidth="1"/>
    <col min="6665" max="6671" width="11.42578125" style="23"/>
    <col min="6672" max="6672" width="13.28515625" style="23" customWidth="1"/>
    <col min="6673" max="6914" width="11.42578125" style="23"/>
    <col min="6915" max="6915" width="36.7109375" style="23" customWidth="1"/>
    <col min="6916" max="6916" width="12.7109375" style="23" customWidth="1"/>
    <col min="6917" max="6917" width="10.7109375" style="23" customWidth="1"/>
    <col min="6918" max="6918" width="12.7109375" style="23" customWidth="1"/>
    <col min="6919" max="6920" width="10.7109375" style="23" customWidth="1"/>
    <col min="6921" max="6927" width="11.42578125" style="23"/>
    <col min="6928" max="6928" width="13.28515625" style="23" customWidth="1"/>
    <col min="6929" max="7170" width="11.42578125" style="23"/>
    <col min="7171" max="7171" width="36.7109375" style="23" customWidth="1"/>
    <col min="7172" max="7172" width="12.7109375" style="23" customWidth="1"/>
    <col min="7173" max="7173" width="10.7109375" style="23" customWidth="1"/>
    <col min="7174" max="7174" width="12.7109375" style="23" customWidth="1"/>
    <col min="7175" max="7176" width="10.7109375" style="23" customWidth="1"/>
    <col min="7177" max="7183" width="11.42578125" style="23"/>
    <col min="7184" max="7184" width="13.28515625" style="23" customWidth="1"/>
    <col min="7185" max="7426" width="11.42578125" style="23"/>
    <col min="7427" max="7427" width="36.7109375" style="23" customWidth="1"/>
    <col min="7428" max="7428" width="12.7109375" style="23" customWidth="1"/>
    <col min="7429" max="7429" width="10.7109375" style="23" customWidth="1"/>
    <col min="7430" max="7430" width="12.7109375" style="23" customWidth="1"/>
    <col min="7431" max="7432" width="10.7109375" style="23" customWidth="1"/>
    <col min="7433" max="7439" width="11.42578125" style="23"/>
    <col min="7440" max="7440" width="13.28515625" style="23" customWidth="1"/>
    <col min="7441" max="7682" width="11.42578125" style="23"/>
    <col min="7683" max="7683" width="36.7109375" style="23" customWidth="1"/>
    <col min="7684" max="7684" width="12.7109375" style="23" customWidth="1"/>
    <col min="7685" max="7685" width="10.7109375" style="23" customWidth="1"/>
    <col min="7686" max="7686" width="12.7109375" style="23" customWidth="1"/>
    <col min="7687" max="7688" width="10.7109375" style="23" customWidth="1"/>
    <col min="7689" max="7695" width="11.42578125" style="23"/>
    <col min="7696" max="7696" width="13.28515625" style="23" customWidth="1"/>
    <col min="7697" max="7938" width="11.42578125" style="23"/>
    <col min="7939" max="7939" width="36.7109375" style="23" customWidth="1"/>
    <col min="7940" max="7940" width="12.7109375" style="23" customWidth="1"/>
    <col min="7941" max="7941" width="10.7109375" style="23" customWidth="1"/>
    <col min="7942" max="7942" width="12.7109375" style="23" customWidth="1"/>
    <col min="7943" max="7944" width="10.7109375" style="23" customWidth="1"/>
    <col min="7945" max="7951" width="11.42578125" style="23"/>
    <col min="7952" max="7952" width="13.28515625" style="23" customWidth="1"/>
    <col min="7953" max="8194" width="11.42578125" style="23"/>
    <col min="8195" max="8195" width="36.7109375" style="23" customWidth="1"/>
    <col min="8196" max="8196" width="12.7109375" style="23" customWidth="1"/>
    <col min="8197" max="8197" width="10.7109375" style="23" customWidth="1"/>
    <col min="8198" max="8198" width="12.7109375" style="23" customWidth="1"/>
    <col min="8199" max="8200" width="10.7109375" style="23" customWidth="1"/>
    <col min="8201" max="8207" width="11.42578125" style="23"/>
    <col min="8208" max="8208" width="13.28515625" style="23" customWidth="1"/>
    <col min="8209" max="8450" width="11.42578125" style="23"/>
    <col min="8451" max="8451" width="36.7109375" style="23" customWidth="1"/>
    <col min="8452" max="8452" width="12.7109375" style="23" customWidth="1"/>
    <col min="8453" max="8453" width="10.7109375" style="23" customWidth="1"/>
    <col min="8454" max="8454" width="12.7109375" style="23" customWidth="1"/>
    <col min="8455" max="8456" width="10.7109375" style="23" customWidth="1"/>
    <col min="8457" max="8463" width="11.42578125" style="23"/>
    <col min="8464" max="8464" width="13.28515625" style="23" customWidth="1"/>
    <col min="8465" max="8706" width="11.42578125" style="23"/>
    <col min="8707" max="8707" width="36.7109375" style="23" customWidth="1"/>
    <col min="8708" max="8708" width="12.7109375" style="23" customWidth="1"/>
    <col min="8709" max="8709" width="10.7109375" style="23" customWidth="1"/>
    <col min="8710" max="8710" width="12.7109375" style="23" customWidth="1"/>
    <col min="8711" max="8712" width="10.7109375" style="23" customWidth="1"/>
    <col min="8713" max="8719" width="11.42578125" style="23"/>
    <col min="8720" max="8720" width="13.28515625" style="23" customWidth="1"/>
    <col min="8721" max="8962" width="11.42578125" style="23"/>
    <col min="8963" max="8963" width="36.7109375" style="23" customWidth="1"/>
    <col min="8964" max="8964" width="12.7109375" style="23" customWidth="1"/>
    <col min="8965" max="8965" width="10.7109375" style="23" customWidth="1"/>
    <col min="8966" max="8966" width="12.7109375" style="23" customWidth="1"/>
    <col min="8967" max="8968" width="10.7109375" style="23" customWidth="1"/>
    <col min="8969" max="8975" width="11.42578125" style="23"/>
    <col min="8976" max="8976" width="13.28515625" style="23" customWidth="1"/>
    <col min="8977" max="9218" width="11.42578125" style="23"/>
    <col min="9219" max="9219" width="36.7109375" style="23" customWidth="1"/>
    <col min="9220" max="9220" width="12.7109375" style="23" customWidth="1"/>
    <col min="9221" max="9221" width="10.7109375" style="23" customWidth="1"/>
    <col min="9222" max="9222" width="12.7109375" style="23" customWidth="1"/>
    <col min="9223" max="9224" width="10.7109375" style="23" customWidth="1"/>
    <col min="9225" max="9231" width="11.42578125" style="23"/>
    <col min="9232" max="9232" width="13.28515625" style="23" customWidth="1"/>
    <col min="9233" max="9474" width="11.42578125" style="23"/>
    <col min="9475" max="9475" width="36.7109375" style="23" customWidth="1"/>
    <col min="9476" max="9476" width="12.7109375" style="23" customWidth="1"/>
    <col min="9477" max="9477" width="10.7109375" style="23" customWidth="1"/>
    <col min="9478" max="9478" width="12.7109375" style="23" customWidth="1"/>
    <col min="9479" max="9480" width="10.7109375" style="23" customWidth="1"/>
    <col min="9481" max="9487" width="11.42578125" style="23"/>
    <col min="9488" max="9488" width="13.28515625" style="23" customWidth="1"/>
    <col min="9489" max="9730" width="11.42578125" style="23"/>
    <col min="9731" max="9731" width="36.7109375" style="23" customWidth="1"/>
    <col min="9732" max="9732" width="12.7109375" style="23" customWidth="1"/>
    <col min="9733" max="9733" width="10.7109375" style="23" customWidth="1"/>
    <col min="9734" max="9734" width="12.7109375" style="23" customWidth="1"/>
    <col min="9735" max="9736" width="10.7109375" style="23" customWidth="1"/>
    <col min="9737" max="9743" width="11.42578125" style="23"/>
    <col min="9744" max="9744" width="13.28515625" style="23" customWidth="1"/>
    <col min="9745" max="9986" width="11.42578125" style="23"/>
    <col min="9987" max="9987" width="36.7109375" style="23" customWidth="1"/>
    <col min="9988" max="9988" width="12.7109375" style="23" customWidth="1"/>
    <col min="9989" max="9989" width="10.7109375" style="23" customWidth="1"/>
    <col min="9990" max="9990" width="12.7109375" style="23" customWidth="1"/>
    <col min="9991" max="9992" width="10.7109375" style="23" customWidth="1"/>
    <col min="9993" max="9999" width="11.42578125" style="23"/>
    <col min="10000" max="10000" width="13.28515625" style="23" customWidth="1"/>
    <col min="10001" max="10242" width="11.42578125" style="23"/>
    <col min="10243" max="10243" width="36.7109375" style="23" customWidth="1"/>
    <col min="10244" max="10244" width="12.7109375" style="23" customWidth="1"/>
    <col min="10245" max="10245" width="10.7109375" style="23" customWidth="1"/>
    <col min="10246" max="10246" width="12.7109375" style="23" customWidth="1"/>
    <col min="10247" max="10248" width="10.7109375" style="23" customWidth="1"/>
    <col min="10249" max="10255" width="11.42578125" style="23"/>
    <col min="10256" max="10256" width="13.28515625" style="23" customWidth="1"/>
    <col min="10257" max="10498" width="11.42578125" style="23"/>
    <col min="10499" max="10499" width="36.7109375" style="23" customWidth="1"/>
    <col min="10500" max="10500" width="12.7109375" style="23" customWidth="1"/>
    <col min="10501" max="10501" width="10.7109375" style="23" customWidth="1"/>
    <col min="10502" max="10502" width="12.7109375" style="23" customWidth="1"/>
    <col min="10503" max="10504" width="10.7109375" style="23" customWidth="1"/>
    <col min="10505" max="10511" width="11.42578125" style="23"/>
    <col min="10512" max="10512" width="13.28515625" style="23" customWidth="1"/>
    <col min="10513" max="10754" width="11.42578125" style="23"/>
    <col min="10755" max="10755" width="36.7109375" style="23" customWidth="1"/>
    <col min="10756" max="10756" width="12.7109375" style="23" customWidth="1"/>
    <col min="10757" max="10757" width="10.7109375" style="23" customWidth="1"/>
    <col min="10758" max="10758" width="12.7109375" style="23" customWidth="1"/>
    <col min="10759" max="10760" width="10.7109375" style="23" customWidth="1"/>
    <col min="10761" max="10767" width="11.42578125" style="23"/>
    <col min="10768" max="10768" width="13.28515625" style="23" customWidth="1"/>
    <col min="10769" max="11010" width="11.42578125" style="23"/>
    <col min="11011" max="11011" width="36.7109375" style="23" customWidth="1"/>
    <col min="11012" max="11012" width="12.7109375" style="23" customWidth="1"/>
    <col min="11013" max="11013" width="10.7109375" style="23" customWidth="1"/>
    <col min="11014" max="11014" width="12.7109375" style="23" customWidth="1"/>
    <col min="11015" max="11016" width="10.7109375" style="23" customWidth="1"/>
    <col min="11017" max="11023" width="11.42578125" style="23"/>
    <col min="11024" max="11024" width="13.28515625" style="23" customWidth="1"/>
    <col min="11025" max="11266" width="11.42578125" style="23"/>
    <col min="11267" max="11267" width="36.7109375" style="23" customWidth="1"/>
    <col min="11268" max="11268" width="12.7109375" style="23" customWidth="1"/>
    <col min="11269" max="11269" width="10.7109375" style="23" customWidth="1"/>
    <col min="11270" max="11270" width="12.7109375" style="23" customWidth="1"/>
    <col min="11271" max="11272" width="10.7109375" style="23" customWidth="1"/>
    <col min="11273" max="11279" width="11.42578125" style="23"/>
    <col min="11280" max="11280" width="13.28515625" style="23" customWidth="1"/>
    <col min="11281" max="11522" width="11.42578125" style="23"/>
    <col min="11523" max="11523" width="36.7109375" style="23" customWidth="1"/>
    <col min="11524" max="11524" width="12.7109375" style="23" customWidth="1"/>
    <col min="11525" max="11525" width="10.7109375" style="23" customWidth="1"/>
    <col min="11526" max="11526" width="12.7109375" style="23" customWidth="1"/>
    <col min="11527" max="11528" width="10.7109375" style="23" customWidth="1"/>
    <col min="11529" max="11535" width="11.42578125" style="23"/>
    <col min="11536" max="11536" width="13.28515625" style="23" customWidth="1"/>
    <col min="11537" max="11778" width="11.42578125" style="23"/>
    <col min="11779" max="11779" width="36.7109375" style="23" customWidth="1"/>
    <col min="11780" max="11780" width="12.7109375" style="23" customWidth="1"/>
    <col min="11781" max="11781" width="10.7109375" style="23" customWidth="1"/>
    <col min="11782" max="11782" width="12.7109375" style="23" customWidth="1"/>
    <col min="11783" max="11784" width="10.7109375" style="23" customWidth="1"/>
    <col min="11785" max="11791" width="11.42578125" style="23"/>
    <col min="11792" max="11792" width="13.28515625" style="23" customWidth="1"/>
    <col min="11793" max="12034" width="11.42578125" style="23"/>
    <col min="12035" max="12035" width="36.7109375" style="23" customWidth="1"/>
    <col min="12036" max="12036" width="12.7109375" style="23" customWidth="1"/>
    <col min="12037" max="12037" width="10.7109375" style="23" customWidth="1"/>
    <col min="12038" max="12038" width="12.7109375" style="23" customWidth="1"/>
    <col min="12039" max="12040" width="10.7109375" style="23" customWidth="1"/>
    <col min="12041" max="12047" width="11.42578125" style="23"/>
    <col min="12048" max="12048" width="13.28515625" style="23" customWidth="1"/>
    <col min="12049" max="12290" width="11.42578125" style="23"/>
    <col min="12291" max="12291" width="36.7109375" style="23" customWidth="1"/>
    <col min="12292" max="12292" width="12.7109375" style="23" customWidth="1"/>
    <col min="12293" max="12293" width="10.7109375" style="23" customWidth="1"/>
    <col min="12294" max="12294" width="12.7109375" style="23" customWidth="1"/>
    <col min="12295" max="12296" width="10.7109375" style="23" customWidth="1"/>
    <col min="12297" max="12303" width="11.42578125" style="23"/>
    <col min="12304" max="12304" width="13.28515625" style="23" customWidth="1"/>
    <col min="12305" max="12546" width="11.42578125" style="23"/>
    <col min="12547" max="12547" width="36.7109375" style="23" customWidth="1"/>
    <col min="12548" max="12548" width="12.7109375" style="23" customWidth="1"/>
    <col min="12549" max="12549" width="10.7109375" style="23" customWidth="1"/>
    <col min="12550" max="12550" width="12.7109375" style="23" customWidth="1"/>
    <col min="12551" max="12552" width="10.7109375" style="23" customWidth="1"/>
    <col min="12553" max="12559" width="11.42578125" style="23"/>
    <col min="12560" max="12560" width="13.28515625" style="23" customWidth="1"/>
    <col min="12561" max="12802" width="11.42578125" style="23"/>
    <col min="12803" max="12803" width="36.7109375" style="23" customWidth="1"/>
    <col min="12804" max="12804" width="12.7109375" style="23" customWidth="1"/>
    <col min="12805" max="12805" width="10.7109375" style="23" customWidth="1"/>
    <col min="12806" max="12806" width="12.7109375" style="23" customWidth="1"/>
    <col min="12807" max="12808" width="10.7109375" style="23" customWidth="1"/>
    <col min="12809" max="12815" width="11.42578125" style="23"/>
    <col min="12816" max="12816" width="13.28515625" style="23" customWidth="1"/>
    <col min="12817" max="13058" width="11.42578125" style="23"/>
    <col min="13059" max="13059" width="36.7109375" style="23" customWidth="1"/>
    <col min="13060" max="13060" width="12.7109375" style="23" customWidth="1"/>
    <col min="13061" max="13061" width="10.7109375" style="23" customWidth="1"/>
    <col min="13062" max="13062" width="12.7109375" style="23" customWidth="1"/>
    <col min="13063" max="13064" width="10.7109375" style="23" customWidth="1"/>
    <col min="13065" max="13071" width="11.42578125" style="23"/>
    <col min="13072" max="13072" width="13.28515625" style="23" customWidth="1"/>
    <col min="13073" max="13314" width="11.42578125" style="23"/>
    <col min="13315" max="13315" width="36.7109375" style="23" customWidth="1"/>
    <col min="13316" max="13316" width="12.7109375" style="23" customWidth="1"/>
    <col min="13317" max="13317" width="10.7109375" style="23" customWidth="1"/>
    <col min="13318" max="13318" width="12.7109375" style="23" customWidth="1"/>
    <col min="13319" max="13320" width="10.7109375" style="23" customWidth="1"/>
    <col min="13321" max="13327" width="11.42578125" style="23"/>
    <col min="13328" max="13328" width="13.28515625" style="23" customWidth="1"/>
    <col min="13329" max="13570" width="11.42578125" style="23"/>
    <col min="13571" max="13571" width="36.7109375" style="23" customWidth="1"/>
    <col min="13572" max="13572" width="12.7109375" style="23" customWidth="1"/>
    <col min="13573" max="13573" width="10.7109375" style="23" customWidth="1"/>
    <col min="13574" max="13574" width="12.7109375" style="23" customWidth="1"/>
    <col min="13575" max="13576" width="10.7109375" style="23" customWidth="1"/>
    <col min="13577" max="13583" width="11.42578125" style="23"/>
    <col min="13584" max="13584" width="13.28515625" style="23" customWidth="1"/>
    <col min="13585" max="13826" width="11.42578125" style="23"/>
    <col min="13827" max="13827" width="36.7109375" style="23" customWidth="1"/>
    <col min="13828" max="13828" width="12.7109375" style="23" customWidth="1"/>
    <col min="13829" max="13829" width="10.7109375" style="23" customWidth="1"/>
    <col min="13830" max="13830" width="12.7109375" style="23" customWidth="1"/>
    <col min="13831" max="13832" width="10.7109375" style="23" customWidth="1"/>
    <col min="13833" max="13839" width="11.42578125" style="23"/>
    <col min="13840" max="13840" width="13.28515625" style="23" customWidth="1"/>
    <col min="13841" max="14082" width="11.42578125" style="23"/>
    <col min="14083" max="14083" width="36.7109375" style="23" customWidth="1"/>
    <col min="14084" max="14084" width="12.7109375" style="23" customWidth="1"/>
    <col min="14085" max="14085" width="10.7109375" style="23" customWidth="1"/>
    <col min="14086" max="14086" width="12.7109375" style="23" customWidth="1"/>
    <col min="14087" max="14088" width="10.7109375" style="23" customWidth="1"/>
    <col min="14089" max="14095" width="11.42578125" style="23"/>
    <col min="14096" max="14096" width="13.28515625" style="23" customWidth="1"/>
    <col min="14097" max="14338" width="11.42578125" style="23"/>
    <col min="14339" max="14339" width="36.7109375" style="23" customWidth="1"/>
    <col min="14340" max="14340" width="12.7109375" style="23" customWidth="1"/>
    <col min="14341" max="14341" width="10.7109375" style="23" customWidth="1"/>
    <col min="14342" max="14342" width="12.7109375" style="23" customWidth="1"/>
    <col min="14343" max="14344" width="10.7109375" style="23" customWidth="1"/>
    <col min="14345" max="14351" width="11.42578125" style="23"/>
    <col min="14352" max="14352" width="13.28515625" style="23" customWidth="1"/>
    <col min="14353" max="14594" width="11.42578125" style="23"/>
    <col min="14595" max="14595" width="36.7109375" style="23" customWidth="1"/>
    <col min="14596" max="14596" width="12.7109375" style="23" customWidth="1"/>
    <col min="14597" max="14597" width="10.7109375" style="23" customWidth="1"/>
    <col min="14598" max="14598" width="12.7109375" style="23" customWidth="1"/>
    <col min="14599" max="14600" width="10.7109375" style="23" customWidth="1"/>
    <col min="14601" max="14607" width="11.42578125" style="23"/>
    <col min="14608" max="14608" width="13.28515625" style="23" customWidth="1"/>
    <col min="14609" max="14850" width="11.42578125" style="23"/>
    <col min="14851" max="14851" width="36.7109375" style="23" customWidth="1"/>
    <col min="14852" max="14852" width="12.7109375" style="23" customWidth="1"/>
    <col min="14853" max="14853" width="10.7109375" style="23" customWidth="1"/>
    <col min="14854" max="14854" width="12.7109375" style="23" customWidth="1"/>
    <col min="14855" max="14856" width="10.7109375" style="23" customWidth="1"/>
    <col min="14857" max="14863" width="11.42578125" style="23"/>
    <col min="14864" max="14864" width="13.28515625" style="23" customWidth="1"/>
    <col min="14865" max="15106" width="11.42578125" style="23"/>
    <col min="15107" max="15107" width="36.7109375" style="23" customWidth="1"/>
    <col min="15108" max="15108" width="12.7109375" style="23" customWidth="1"/>
    <col min="15109" max="15109" width="10.7109375" style="23" customWidth="1"/>
    <col min="15110" max="15110" width="12.7109375" style="23" customWidth="1"/>
    <col min="15111" max="15112" width="10.7109375" style="23" customWidth="1"/>
    <col min="15113" max="15119" width="11.42578125" style="23"/>
    <col min="15120" max="15120" width="13.28515625" style="23" customWidth="1"/>
    <col min="15121" max="15362" width="11.42578125" style="23"/>
    <col min="15363" max="15363" width="36.7109375" style="23" customWidth="1"/>
    <col min="15364" max="15364" width="12.7109375" style="23" customWidth="1"/>
    <col min="15365" max="15365" width="10.7109375" style="23" customWidth="1"/>
    <col min="15366" max="15366" width="12.7109375" style="23" customWidth="1"/>
    <col min="15367" max="15368" width="10.7109375" style="23" customWidth="1"/>
    <col min="15369" max="15375" width="11.42578125" style="23"/>
    <col min="15376" max="15376" width="13.28515625" style="23" customWidth="1"/>
    <col min="15377" max="15618" width="11.42578125" style="23"/>
    <col min="15619" max="15619" width="36.7109375" style="23" customWidth="1"/>
    <col min="15620" max="15620" width="12.7109375" style="23" customWidth="1"/>
    <col min="15621" max="15621" width="10.7109375" style="23" customWidth="1"/>
    <col min="15622" max="15622" width="12.7109375" style="23" customWidth="1"/>
    <col min="15623" max="15624" width="10.7109375" style="23" customWidth="1"/>
    <col min="15625" max="15631" width="11.42578125" style="23"/>
    <col min="15632" max="15632" width="13.28515625" style="23" customWidth="1"/>
    <col min="15633" max="15874" width="11.42578125" style="23"/>
    <col min="15875" max="15875" width="36.7109375" style="23" customWidth="1"/>
    <col min="15876" max="15876" width="12.7109375" style="23" customWidth="1"/>
    <col min="15877" max="15877" width="10.7109375" style="23" customWidth="1"/>
    <col min="15878" max="15878" width="12.7109375" style="23" customWidth="1"/>
    <col min="15879" max="15880" width="10.7109375" style="23" customWidth="1"/>
    <col min="15881" max="15887" width="11.42578125" style="23"/>
    <col min="15888" max="15888" width="13.28515625" style="23" customWidth="1"/>
    <col min="15889" max="16130" width="11.42578125" style="23"/>
    <col min="16131" max="16131" width="36.7109375" style="23" customWidth="1"/>
    <col min="16132" max="16132" width="12.7109375" style="23" customWidth="1"/>
    <col min="16133" max="16133" width="10.7109375" style="23" customWidth="1"/>
    <col min="16134" max="16134" width="12.7109375" style="23" customWidth="1"/>
    <col min="16135" max="16136" width="10.7109375" style="23" customWidth="1"/>
    <col min="16137" max="16143" width="11.42578125" style="23"/>
    <col min="16144" max="16144" width="13.28515625" style="23" customWidth="1"/>
    <col min="16145" max="16384" width="11.42578125" style="23"/>
  </cols>
  <sheetData>
    <row r="3" spans="3:8" ht="24" customHeight="1">
      <c r="C3" s="27" t="s">
        <v>85</v>
      </c>
      <c r="D3" s="28"/>
      <c r="E3" s="28"/>
      <c r="F3" s="28"/>
      <c r="G3" s="28"/>
      <c r="H3" s="29"/>
    </row>
    <row r="4" spans="3:8" ht="22.5">
      <c r="C4" s="30" t="s">
        <v>86</v>
      </c>
      <c r="D4" s="31" t="str">
        <f>actualizaciones!A3</f>
        <v>acumulado julio 2009</v>
      </c>
      <c r="E4" s="32" t="s">
        <v>27</v>
      </c>
      <c r="F4" s="31" t="str">
        <f>actualizaciones!A2</f>
        <v xml:space="preserve">acumulado julio 2010 </v>
      </c>
      <c r="G4" s="32" t="s">
        <v>27</v>
      </c>
      <c r="H4" s="32" t="s">
        <v>28</v>
      </c>
    </row>
    <row r="5" spans="3:8" ht="15" customHeight="1">
      <c r="C5" s="98" t="s">
        <v>87</v>
      </c>
      <c r="D5" s="99"/>
      <c r="E5" s="99"/>
      <c r="F5" s="99"/>
      <c r="G5" s="99"/>
      <c r="H5" s="100"/>
    </row>
    <row r="6" spans="3:8" ht="15" customHeight="1">
      <c r="C6" s="101" t="s">
        <v>29</v>
      </c>
      <c r="D6" s="34">
        <f>GETPIVOTDATA("TOTAL",'[1]Evolución mensual zonas y categ'!$A$111,"AÑO",2009)</f>
        <v>2728596</v>
      </c>
      <c r="E6" s="35">
        <f>D6/D6</f>
        <v>1</v>
      </c>
      <c r="F6" s="34">
        <f>GETPIVOTDATA("TOTAL",'[1]Evolución mensual zonas y categ'!$A$111,"AÑO",2010)</f>
        <v>2766193</v>
      </c>
      <c r="G6" s="35">
        <f>F6/F6</f>
        <v>1</v>
      </c>
      <c r="H6" s="102">
        <f>(F6-D6)/D6</f>
        <v>1.3778881153530974E-2</v>
      </c>
    </row>
    <row r="7" spans="3:8">
      <c r="C7" s="103" t="s">
        <v>30</v>
      </c>
      <c r="D7" s="104">
        <f>GETPIVOTDATA("Hotelero",'[1]Evolución mensual zonas y categ'!$A$111,"AÑO",2009)</f>
        <v>1605820</v>
      </c>
      <c r="E7" s="105">
        <f>D7/D6</f>
        <v>0.58851511913086441</v>
      </c>
      <c r="F7" s="104">
        <f>GETPIVOTDATA("Hotelero",'[1]Evolución mensual zonas y categ'!$A$111,"AÑO",2010)</f>
        <v>1677828</v>
      </c>
      <c r="G7" s="105">
        <f>F7/F6</f>
        <v>0.60654769931093022</v>
      </c>
      <c r="H7" s="106">
        <f>(F7-D7)/D7</f>
        <v>4.48418876337323E-2</v>
      </c>
    </row>
    <row r="8" spans="3:8">
      <c r="C8" s="103" t="s">
        <v>31</v>
      </c>
      <c r="D8" s="104">
        <f>GETPIVOTDATA("Extrahotelero",'[1]Evolución mensual zonas y categ'!$A$111,"AÑO",2009)</f>
        <v>1122776</v>
      </c>
      <c r="E8" s="105">
        <f>D8/D6</f>
        <v>0.41148488086913565</v>
      </c>
      <c r="F8" s="104">
        <f>GETPIVOTDATA("Extrahotelero",'[1]Evolución mensual zonas y categ'!$A$111,"AÑO",2010)</f>
        <v>1088365</v>
      </c>
      <c r="G8" s="105">
        <f>F8/F6</f>
        <v>0.39345230068906978</v>
      </c>
      <c r="H8" s="106">
        <f>(F8-D8)/D8</f>
        <v>-3.0648143529965016E-2</v>
      </c>
    </row>
    <row r="9" spans="3:8" ht="15" customHeight="1">
      <c r="C9" s="98" t="s">
        <v>88</v>
      </c>
      <c r="D9" s="107"/>
      <c r="E9" s="107"/>
      <c r="F9" s="107"/>
      <c r="G9" s="107"/>
      <c r="H9" s="108"/>
    </row>
    <row r="10" spans="3:8">
      <c r="C10" s="109" t="s">
        <v>29</v>
      </c>
      <c r="D10" s="38">
        <f>GETPIVOTDATA("Total",'[1]Evolución mensual zonas y categ'!$A$90,"AÑO",2009)</f>
        <v>2118205</v>
      </c>
      <c r="E10" s="110">
        <f>D10/D10</f>
        <v>1</v>
      </c>
      <c r="F10" s="38">
        <f>GETPIVOTDATA("Total",'[1]Evolución mensual zonas y categ'!$A$90,"AÑO",2010)</f>
        <v>2187150</v>
      </c>
      <c r="G10" s="110">
        <f>F10/F10</f>
        <v>1</v>
      </c>
      <c r="H10" s="40">
        <f>(F10-D10)/D10</f>
        <v>3.2548785410288425E-2</v>
      </c>
    </row>
    <row r="11" spans="3:8">
      <c r="C11" s="111" t="s">
        <v>30</v>
      </c>
      <c r="D11" s="38">
        <f>GETPIVOTDATA("Hotelero",'[1]Evolución mensual zonas y categ'!$A$90,"AÑO",2009)</f>
        <v>1169683</v>
      </c>
      <c r="E11" s="39">
        <f>D11/D10</f>
        <v>0.55220481492584528</v>
      </c>
      <c r="F11" s="38">
        <f>GETPIVOTDATA("Hotelero",'[1]Evolución mensual zonas y categ'!$A$90,"AÑO",2010)</f>
        <v>1249058</v>
      </c>
      <c r="G11" s="39">
        <f>F11/F10</f>
        <v>0.57108931714788647</v>
      </c>
      <c r="H11" s="40">
        <f>(F11-D11)/D11</f>
        <v>6.786026641406262E-2</v>
      </c>
    </row>
    <row r="12" spans="3:8">
      <c r="C12" s="111" t="s">
        <v>31</v>
      </c>
      <c r="D12" s="112">
        <f>GETPIVOTDATA("Extrahotelero",'[1]Evolución mensual zonas y categ'!$A$90,"AÑO",2009)</f>
        <v>948522</v>
      </c>
      <c r="E12" s="41">
        <f>D12/D10</f>
        <v>0.44779518507415478</v>
      </c>
      <c r="F12" s="112">
        <f>GETPIVOTDATA("Extrahotelero",'[1]Evolución mensual zonas y categ'!$A$90,"AÑO",2010)</f>
        <v>938092</v>
      </c>
      <c r="G12" s="41">
        <f>F12/F10</f>
        <v>0.42891068285211348</v>
      </c>
      <c r="H12" s="40">
        <f>(F12-D12)/D12</f>
        <v>-1.0996054914909723E-2</v>
      </c>
    </row>
    <row r="13" spans="3:8" ht="15" customHeight="1">
      <c r="C13" s="98" t="s">
        <v>89</v>
      </c>
      <c r="D13" s="107"/>
      <c r="E13" s="107"/>
      <c r="F13" s="107"/>
      <c r="G13" s="107"/>
      <c r="H13" s="108"/>
    </row>
    <row r="14" spans="3:8">
      <c r="C14" s="111" t="s">
        <v>29</v>
      </c>
      <c r="D14" s="38">
        <f>GETPIVOTDATA("dato",'[1]Evolución mensual zonas y categ'!$A$70,"categoría","TOTAL","año",2009)</f>
        <v>945838</v>
      </c>
      <c r="E14" s="110">
        <f>D14/D14</f>
        <v>1</v>
      </c>
      <c r="F14" s="38">
        <f>GETPIVOTDATA("dato",'[1]Evolución mensual zonas y categ'!$A$70,"categoría","TOTAL","año",2010)</f>
        <v>978683</v>
      </c>
      <c r="G14" s="110">
        <f>F14/F14</f>
        <v>1</v>
      </c>
      <c r="H14" s="113">
        <f>(F14-D14)/D14</f>
        <v>3.472581985498574E-2</v>
      </c>
    </row>
    <row r="15" spans="3:8">
      <c r="C15" s="111" t="s">
        <v>30</v>
      </c>
      <c r="D15" s="38">
        <f>GETPIVOTDATA("dato",'[1]Evolución mensual zonas y categ'!$A$70,"categoría","HOTELEROS","año",2009)</f>
        <v>605398</v>
      </c>
      <c r="E15" s="39">
        <f>D15/D14</f>
        <v>0.64006521201305089</v>
      </c>
      <c r="F15" s="38">
        <f>GETPIVOTDATA("dato",'[1]Evolución mensual zonas y categ'!$A$70,"categoría","HOTELEROS","año",2010)</f>
        <v>644123</v>
      </c>
      <c r="G15" s="39">
        <f>F15/F14</f>
        <v>0.6581528441793717</v>
      </c>
      <c r="H15" s="113">
        <f>(F15-D15)/D15</f>
        <v>6.3966184229217807E-2</v>
      </c>
    </row>
    <row r="16" spans="3:8">
      <c r="C16" s="111" t="s">
        <v>31</v>
      </c>
      <c r="D16" s="112">
        <f>GETPIVOTDATA("dato",'[1]Evolución mensual zonas y categ'!$A$70,"categoría","EXTRAHOTELEROS","año",2009)</f>
        <v>340440</v>
      </c>
      <c r="E16" s="41">
        <f>D16/D14</f>
        <v>0.35993478798694911</v>
      </c>
      <c r="F16" s="112">
        <f>GETPIVOTDATA("dato",'[1]Evolución mensual zonas y categ'!$A$70,"categoría","EXTRAHOTELEROS","año",2010)</f>
        <v>334560</v>
      </c>
      <c r="G16" s="41">
        <f>F16/F14</f>
        <v>0.34184715582062836</v>
      </c>
      <c r="H16" s="113">
        <f>(F16-D16)/D16</f>
        <v>-1.7271765949947126E-2</v>
      </c>
    </row>
    <row r="17" spans="2:12">
      <c r="C17" s="114" t="s">
        <v>90</v>
      </c>
      <c r="D17" s="115"/>
      <c r="E17" s="115"/>
      <c r="F17" s="115"/>
      <c r="G17" s="115"/>
      <c r="H17" s="116"/>
    </row>
    <row r="18" spans="2:12" ht="15" customHeight="1" thickBot="1"/>
    <row r="19" spans="2:12" ht="30" customHeight="1" thickBot="1">
      <c r="H19" s="60" t="s">
        <v>49</v>
      </c>
    </row>
    <row r="20" spans="2:12" ht="24.95" customHeight="1">
      <c r="B20" s="46"/>
      <c r="C20" s="117"/>
      <c r="D20" s="46"/>
      <c r="E20" s="46"/>
      <c r="F20" s="46"/>
      <c r="G20" s="46"/>
      <c r="H20" s="46"/>
      <c r="I20" s="46"/>
      <c r="J20" s="46"/>
      <c r="K20" s="46"/>
      <c r="L20" s="46"/>
    </row>
  </sheetData>
  <mergeCells count="2">
    <mergeCell ref="C3:H3"/>
    <mergeCell ref="C17:H17"/>
  </mergeCells>
  <hyperlinks>
    <hyperlink ref="H19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colBreaks count="1" manualBreakCount="1">
    <brk id="8" min="2" max="45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2:AO30"/>
  <sheetViews>
    <sheetView showGridLines="0" showRowColHeaders="0" showOutlineSymbols="0" zoomScaleNormal="100" workbookViewId="0">
      <selection activeCell="B25" sqref="B25"/>
    </sheetView>
  </sheetViews>
  <sheetFormatPr baseColWidth="10" defaultRowHeight="12.75"/>
  <cols>
    <col min="1" max="1" width="14.5703125" style="23" customWidth="1"/>
    <col min="2" max="8" width="11.42578125" style="23"/>
    <col min="9" max="9" width="14" style="23" customWidth="1"/>
    <col min="10" max="42" width="11.42578125" style="23"/>
    <col min="43" max="43" width="36.7109375" style="23" customWidth="1"/>
    <col min="44" max="44" width="12.7109375" style="23" customWidth="1"/>
    <col min="45" max="45" width="10.7109375" style="23" customWidth="1"/>
    <col min="46" max="46" width="12.7109375" style="23" customWidth="1"/>
    <col min="47" max="48" width="10.7109375" style="23" customWidth="1"/>
    <col min="49" max="55" width="11.42578125" style="23"/>
    <col min="56" max="56" width="13.28515625" style="23" customWidth="1"/>
    <col min="57" max="298" width="11.42578125" style="23"/>
    <col min="299" max="299" width="36.7109375" style="23" customWidth="1"/>
    <col min="300" max="300" width="12.7109375" style="23" customWidth="1"/>
    <col min="301" max="301" width="10.7109375" style="23" customWidth="1"/>
    <col min="302" max="302" width="12.7109375" style="23" customWidth="1"/>
    <col min="303" max="304" width="10.7109375" style="23" customWidth="1"/>
    <col min="305" max="311" width="11.42578125" style="23"/>
    <col min="312" max="312" width="13.28515625" style="23" customWidth="1"/>
    <col min="313" max="554" width="11.42578125" style="23"/>
    <col min="555" max="555" width="36.7109375" style="23" customWidth="1"/>
    <col min="556" max="556" width="12.7109375" style="23" customWidth="1"/>
    <col min="557" max="557" width="10.7109375" style="23" customWidth="1"/>
    <col min="558" max="558" width="12.7109375" style="23" customWidth="1"/>
    <col min="559" max="560" width="10.7109375" style="23" customWidth="1"/>
    <col min="561" max="567" width="11.42578125" style="23"/>
    <col min="568" max="568" width="13.28515625" style="23" customWidth="1"/>
    <col min="569" max="810" width="11.42578125" style="23"/>
    <col min="811" max="811" width="36.7109375" style="23" customWidth="1"/>
    <col min="812" max="812" width="12.7109375" style="23" customWidth="1"/>
    <col min="813" max="813" width="10.7109375" style="23" customWidth="1"/>
    <col min="814" max="814" width="12.7109375" style="23" customWidth="1"/>
    <col min="815" max="816" width="10.7109375" style="23" customWidth="1"/>
    <col min="817" max="823" width="11.42578125" style="23"/>
    <col min="824" max="824" width="13.28515625" style="23" customWidth="1"/>
    <col min="825" max="1066" width="11.42578125" style="23"/>
    <col min="1067" max="1067" width="36.7109375" style="23" customWidth="1"/>
    <col min="1068" max="1068" width="12.7109375" style="23" customWidth="1"/>
    <col min="1069" max="1069" width="10.7109375" style="23" customWidth="1"/>
    <col min="1070" max="1070" width="12.7109375" style="23" customWidth="1"/>
    <col min="1071" max="1072" width="10.7109375" style="23" customWidth="1"/>
    <col min="1073" max="1079" width="11.42578125" style="23"/>
    <col min="1080" max="1080" width="13.28515625" style="23" customWidth="1"/>
    <col min="1081" max="1322" width="11.42578125" style="23"/>
    <col min="1323" max="1323" width="36.7109375" style="23" customWidth="1"/>
    <col min="1324" max="1324" width="12.7109375" style="23" customWidth="1"/>
    <col min="1325" max="1325" width="10.7109375" style="23" customWidth="1"/>
    <col min="1326" max="1326" width="12.7109375" style="23" customWidth="1"/>
    <col min="1327" max="1328" width="10.7109375" style="23" customWidth="1"/>
    <col min="1329" max="1335" width="11.42578125" style="23"/>
    <col min="1336" max="1336" width="13.28515625" style="23" customWidth="1"/>
    <col min="1337" max="1578" width="11.42578125" style="23"/>
    <col min="1579" max="1579" width="36.7109375" style="23" customWidth="1"/>
    <col min="1580" max="1580" width="12.7109375" style="23" customWidth="1"/>
    <col min="1581" max="1581" width="10.7109375" style="23" customWidth="1"/>
    <col min="1582" max="1582" width="12.7109375" style="23" customWidth="1"/>
    <col min="1583" max="1584" width="10.7109375" style="23" customWidth="1"/>
    <col min="1585" max="1591" width="11.42578125" style="23"/>
    <col min="1592" max="1592" width="13.28515625" style="23" customWidth="1"/>
    <col min="1593" max="1834" width="11.42578125" style="23"/>
    <col min="1835" max="1835" width="36.7109375" style="23" customWidth="1"/>
    <col min="1836" max="1836" width="12.7109375" style="23" customWidth="1"/>
    <col min="1837" max="1837" width="10.7109375" style="23" customWidth="1"/>
    <col min="1838" max="1838" width="12.7109375" style="23" customWidth="1"/>
    <col min="1839" max="1840" width="10.7109375" style="23" customWidth="1"/>
    <col min="1841" max="1847" width="11.42578125" style="23"/>
    <col min="1848" max="1848" width="13.28515625" style="23" customWidth="1"/>
    <col min="1849" max="2090" width="11.42578125" style="23"/>
    <col min="2091" max="2091" width="36.7109375" style="23" customWidth="1"/>
    <col min="2092" max="2092" width="12.7109375" style="23" customWidth="1"/>
    <col min="2093" max="2093" width="10.7109375" style="23" customWidth="1"/>
    <col min="2094" max="2094" width="12.7109375" style="23" customWidth="1"/>
    <col min="2095" max="2096" width="10.7109375" style="23" customWidth="1"/>
    <col min="2097" max="2103" width="11.42578125" style="23"/>
    <col min="2104" max="2104" width="13.28515625" style="23" customWidth="1"/>
    <col min="2105" max="2346" width="11.42578125" style="23"/>
    <col min="2347" max="2347" width="36.7109375" style="23" customWidth="1"/>
    <col min="2348" max="2348" width="12.7109375" style="23" customWidth="1"/>
    <col min="2349" max="2349" width="10.7109375" style="23" customWidth="1"/>
    <col min="2350" max="2350" width="12.7109375" style="23" customWidth="1"/>
    <col min="2351" max="2352" width="10.7109375" style="23" customWidth="1"/>
    <col min="2353" max="2359" width="11.42578125" style="23"/>
    <col min="2360" max="2360" width="13.28515625" style="23" customWidth="1"/>
    <col min="2361" max="2602" width="11.42578125" style="23"/>
    <col min="2603" max="2603" width="36.7109375" style="23" customWidth="1"/>
    <col min="2604" max="2604" width="12.7109375" style="23" customWidth="1"/>
    <col min="2605" max="2605" width="10.7109375" style="23" customWidth="1"/>
    <col min="2606" max="2606" width="12.7109375" style="23" customWidth="1"/>
    <col min="2607" max="2608" width="10.7109375" style="23" customWidth="1"/>
    <col min="2609" max="2615" width="11.42578125" style="23"/>
    <col min="2616" max="2616" width="13.28515625" style="23" customWidth="1"/>
    <col min="2617" max="2858" width="11.42578125" style="23"/>
    <col min="2859" max="2859" width="36.7109375" style="23" customWidth="1"/>
    <col min="2860" max="2860" width="12.7109375" style="23" customWidth="1"/>
    <col min="2861" max="2861" width="10.7109375" style="23" customWidth="1"/>
    <col min="2862" max="2862" width="12.7109375" style="23" customWidth="1"/>
    <col min="2863" max="2864" width="10.7109375" style="23" customWidth="1"/>
    <col min="2865" max="2871" width="11.42578125" style="23"/>
    <col min="2872" max="2872" width="13.28515625" style="23" customWidth="1"/>
    <col min="2873" max="3114" width="11.42578125" style="23"/>
    <col min="3115" max="3115" width="36.7109375" style="23" customWidth="1"/>
    <col min="3116" max="3116" width="12.7109375" style="23" customWidth="1"/>
    <col min="3117" max="3117" width="10.7109375" style="23" customWidth="1"/>
    <col min="3118" max="3118" width="12.7109375" style="23" customWidth="1"/>
    <col min="3119" max="3120" width="10.7109375" style="23" customWidth="1"/>
    <col min="3121" max="3127" width="11.42578125" style="23"/>
    <col min="3128" max="3128" width="13.28515625" style="23" customWidth="1"/>
    <col min="3129" max="3370" width="11.42578125" style="23"/>
    <col min="3371" max="3371" width="36.7109375" style="23" customWidth="1"/>
    <col min="3372" max="3372" width="12.7109375" style="23" customWidth="1"/>
    <col min="3373" max="3373" width="10.7109375" style="23" customWidth="1"/>
    <col min="3374" max="3374" width="12.7109375" style="23" customWidth="1"/>
    <col min="3375" max="3376" width="10.7109375" style="23" customWidth="1"/>
    <col min="3377" max="3383" width="11.42578125" style="23"/>
    <col min="3384" max="3384" width="13.28515625" style="23" customWidth="1"/>
    <col min="3385" max="3626" width="11.42578125" style="23"/>
    <col min="3627" max="3627" width="36.7109375" style="23" customWidth="1"/>
    <col min="3628" max="3628" width="12.7109375" style="23" customWidth="1"/>
    <col min="3629" max="3629" width="10.7109375" style="23" customWidth="1"/>
    <col min="3630" max="3630" width="12.7109375" style="23" customWidth="1"/>
    <col min="3631" max="3632" width="10.7109375" style="23" customWidth="1"/>
    <col min="3633" max="3639" width="11.42578125" style="23"/>
    <col min="3640" max="3640" width="13.28515625" style="23" customWidth="1"/>
    <col min="3641" max="3882" width="11.42578125" style="23"/>
    <col min="3883" max="3883" width="36.7109375" style="23" customWidth="1"/>
    <col min="3884" max="3884" width="12.7109375" style="23" customWidth="1"/>
    <col min="3885" max="3885" width="10.7109375" style="23" customWidth="1"/>
    <col min="3886" max="3886" width="12.7109375" style="23" customWidth="1"/>
    <col min="3887" max="3888" width="10.7109375" style="23" customWidth="1"/>
    <col min="3889" max="3895" width="11.42578125" style="23"/>
    <col min="3896" max="3896" width="13.28515625" style="23" customWidth="1"/>
    <col min="3897" max="4138" width="11.42578125" style="23"/>
    <col min="4139" max="4139" width="36.7109375" style="23" customWidth="1"/>
    <col min="4140" max="4140" width="12.7109375" style="23" customWidth="1"/>
    <col min="4141" max="4141" width="10.7109375" style="23" customWidth="1"/>
    <col min="4142" max="4142" width="12.7109375" style="23" customWidth="1"/>
    <col min="4143" max="4144" width="10.7109375" style="23" customWidth="1"/>
    <col min="4145" max="4151" width="11.42578125" style="23"/>
    <col min="4152" max="4152" width="13.28515625" style="23" customWidth="1"/>
    <col min="4153" max="4394" width="11.42578125" style="23"/>
    <col min="4395" max="4395" width="36.7109375" style="23" customWidth="1"/>
    <col min="4396" max="4396" width="12.7109375" style="23" customWidth="1"/>
    <col min="4397" max="4397" width="10.7109375" style="23" customWidth="1"/>
    <col min="4398" max="4398" width="12.7109375" style="23" customWidth="1"/>
    <col min="4399" max="4400" width="10.7109375" style="23" customWidth="1"/>
    <col min="4401" max="4407" width="11.42578125" style="23"/>
    <col min="4408" max="4408" width="13.28515625" style="23" customWidth="1"/>
    <col min="4409" max="4650" width="11.42578125" style="23"/>
    <col min="4651" max="4651" width="36.7109375" style="23" customWidth="1"/>
    <col min="4652" max="4652" width="12.7109375" style="23" customWidth="1"/>
    <col min="4653" max="4653" width="10.7109375" style="23" customWidth="1"/>
    <col min="4654" max="4654" width="12.7109375" style="23" customWidth="1"/>
    <col min="4655" max="4656" width="10.7109375" style="23" customWidth="1"/>
    <col min="4657" max="4663" width="11.42578125" style="23"/>
    <col min="4664" max="4664" width="13.28515625" style="23" customWidth="1"/>
    <col min="4665" max="4906" width="11.42578125" style="23"/>
    <col min="4907" max="4907" width="36.7109375" style="23" customWidth="1"/>
    <col min="4908" max="4908" width="12.7109375" style="23" customWidth="1"/>
    <col min="4909" max="4909" width="10.7109375" style="23" customWidth="1"/>
    <col min="4910" max="4910" width="12.7109375" style="23" customWidth="1"/>
    <col min="4911" max="4912" width="10.7109375" style="23" customWidth="1"/>
    <col min="4913" max="4919" width="11.42578125" style="23"/>
    <col min="4920" max="4920" width="13.28515625" style="23" customWidth="1"/>
    <col min="4921" max="5162" width="11.42578125" style="23"/>
    <col min="5163" max="5163" width="36.7109375" style="23" customWidth="1"/>
    <col min="5164" max="5164" width="12.7109375" style="23" customWidth="1"/>
    <col min="5165" max="5165" width="10.7109375" style="23" customWidth="1"/>
    <col min="5166" max="5166" width="12.7109375" style="23" customWidth="1"/>
    <col min="5167" max="5168" width="10.7109375" style="23" customWidth="1"/>
    <col min="5169" max="5175" width="11.42578125" style="23"/>
    <col min="5176" max="5176" width="13.28515625" style="23" customWidth="1"/>
    <col min="5177" max="5418" width="11.42578125" style="23"/>
    <col min="5419" max="5419" width="36.7109375" style="23" customWidth="1"/>
    <col min="5420" max="5420" width="12.7109375" style="23" customWidth="1"/>
    <col min="5421" max="5421" width="10.7109375" style="23" customWidth="1"/>
    <col min="5422" max="5422" width="12.7109375" style="23" customWidth="1"/>
    <col min="5423" max="5424" width="10.7109375" style="23" customWidth="1"/>
    <col min="5425" max="5431" width="11.42578125" style="23"/>
    <col min="5432" max="5432" width="13.28515625" style="23" customWidth="1"/>
    <col min="5433" max="5674" width="11.42578125" style="23"/>
    <col min="5675" max="5675" width="36.7109375" style="23" customWidth="1"/>
    <col min="5676" max="5676" width="12.7109375" style="23" customWidth="1"/>
    <col min="5677" max="5677" width="10.7109375" style="23" customWidth="1"/>
    <col min="5678" max="5678" width="12.7109375" style="23" customWidth="1"/>
    <col min="5679" max="5680" width="10.7109375" style="23" customWidth="1"/>
    <col min="5681" max="5687" width="11.42578125" style="23"/>
    <col min="5688" max="5688" width="13.28515625" style="23" customWidth="1"/>
    <col min="5689" max="5930" width="11.42578125" style="23"/>
    <col min="5931" max="5931" width="36.7109375" style="23" customWidth="1"/>
    <col min="5932" max="5932" width="12.7109375" style="23" customWidth="1"/>
    <col min="5933" max="5933" width="10.7109375" style="23" customWidth="1"/>
    <col min="5934" max="5934" width="12.7109375" style="23" customWidth="1"/>
    <col min="5935" max="5936" width="10.7109375" style="23" customWidth="1"/>
    <col min="5937" max="5943" width="11.42578125" style="23"/>
    <col min="5944" max="5944" width="13.28515625" style="23" customWidth="1"/>
    <col min="5945" max="6186" width="11.42578125" style="23"/>
    <col min="6187" max="6187" width="36.7109375" style="23" customWidth="1"/>
    <col min="6188" max="6188" width="12.7109375" style="23" customWidth="1"/>
    <col min="6189" max="6189" width="10.7109375" style="23" customWidth="1"/>
    <col min="6190" max="6190" width="12.7109375" style="23" customWidth="1"/>
    <col min="6191" max="6192" width="10.7109375" style="23" customWidth="1"/>
    <col min="6193" max="6199" width="11.42578125" style="23"/>
    <col min="6200" max="6200" width="13.28515625" style="23" customWidth="1"/>
    <col min="6201" max="6442" width="11.42578125" style="23"/>
    <col min="6443" max="6443" width="36.7109375" style="23" customWidth="1"/>
    <col min="6444" max="6444" width="12.7109375" style="23" customWidth="1"/>
    <col min="6445" max="6445" width="10.7109375" style="23" customWidth="1"/>
    <col min="6446" max="6446" width="12.7109375" style="23" customWidth="1"/>
    <col min="6447" max="6448" width="10.7109375" style="23" customWidth="1"/>
    <col min="6449" max="6455" width="11.42578125" style="23"/>
    <col min="6456" max="6456" width="13.28515625" style="23" customWidth="1"/>
    <col min="6457" max="6698" width="11.42578125" style="23"/>
    <col min="6699" max="6699" width="36.7109375" style="23" customWidth="1"/>
    <col min="6700" max="6700" width="12.7109375" style="23" customWidth="1"/>
    <col min="6701" max="6701" width="10.7109375" style="23" customWidth="1"/>
    <col min="6702" max="6702" width="12.7109375" style="23" customWidth="1"/>
    <col min="6703" max="6704" width="10.7109375" style="23" customWidth="1"/>
    <col min="6705" max="6711" width="11.42578125" style="23"/>
    <col min="6712" max="6712" width="13.28515625" style="23" customWidth="1"/>
    <col min="6713" max="6954" width="11.42578125" style="23"/>
    <col min="6955" max="6955" width="36.7109375" style="23" customWidth="1"/>
    <col min="6956" max="6956" width="12.7109375" style="23" customWidth="1"/>
    <col min="6957" max="6957" width="10.7109375" style="23" customWidth="1"/>
    <col min="6958" max="6958" width="12.7109375" style="23" customWidth="1"/>
    <col min="6959" max="6960" width="10.7109375" style="23" customWidth="1"/>
    <col min="6961" max="6967" width="11.42578125" style="23"/>
    <col min="6968" max="6968" width="13.28515625" style="23" customWidth="1"/>
    <col min="6969" max="7210" width="11.42578125" style="23"/>
    <col min="7211" max="7211" width="36.7109375" style="23" customWidth="1"/>
    <col min="7212" max="7212" width="12.7109375" style="23" customWidth="1"/>
    <col min="7213" max="7213" width="10.7109375" style="23" customWidth="1"/>
    <col min="7214" max="7214" width="12.7109375" style="23" customWidth="1"/>
    <col min="7215" max="7216" width="10.7109375" style="23" customWidth="1"/>
    <col min="7217" max="7223" width="11.42578125" style="23"/>
    <col min="7224" max="7224" width="13.28515625" style="23" customWidth="1"/>
    <col min="7225" max="7466" width="11.42578125" style="23"/>
    <col min="7467" max="7467" width="36.7109375" style="23" customWidth="1"/>
    <col min="7468" max="7468" width="12.7109375" style="23" customWidth="1"/>
    <col min="7469" max="7469" width="10.7109375" style="23" customWidth="1"/>
    <col min="7470" max="7470" width="12.7109375" style="23" customWidth="1"/>
    <col min="7471" max="7472" width="10.7109375" style="23" customWidth="1"/>
    <col min="7473" max="7479" width="11.42578125" style="23"/>
    <col min="7480" max="7480" width="13.28515625" style="23" customWidth="1"/>
    <col min="7481" max="7722" width="11.42578125" style="23"/>
    <col min="7723" max="7723" width="36.7109375" style="23" customWidth="1"/>
    <col min="7724" max="7724" width="12.7109375" style="23" customWidth="1"/>
    <col min="7725" max="7725" width="10.7109375" style="23" customWidth="1"/>
    <col min="7726" max="7726" width="12.7109375" style="23" customWidth="1"/>
    <col min="7727" max="7728" width="10.7109375" style="23" customWidth="1"/>
    <col min="7729" max="7735" width="11.42578125" style="23"/>
    <col min="7736" max="7736" width="13.28515625" style="23" customWidth="1"/>
    <col min="7737" max="7978" width="11.42578125" style="23"/>
    <col min="7979" max="7979" width="36.7109375" style="23" customWidth="1"/>
    <col min="7980" max="7980" width="12.7109375" style="23" customWidth="1"/>
    <col min="7981" max="7981" width="10.7109375" style="23" customWidth="1"/>
    <col min="7982" max="7982" width="12.7109375" style="23" customWidth="1"/>
    <col min="7983" max="7984" width="10.7109375" style="23" customWidth="1"/>
    <col min="7985" max="7991" width="11.42578125" style="23"/>
    <col min="7992" max="7992" width="13.28515625" style="23" customWidth="1"/>
    <col min="7993" max="8234" width="11.42578125" style="23"/>
    <col min="8235" max="8235" width="36.7109375" style="23" customWidth="1"/>
    <col min="8236" max="8236" width="12.7109375" style="23" customWidth="1"/>
    <col min="8237" max="8237" width="10.7109375" style="23" customWidth="1"/>
    <col min="8238" max="8238" width="12.7109375" style="23" customWidth="1"/>
    <col min="8239" max="8240" width="10.7109375" style="23" customWidth="1"/>
    <col min="8241" max="8247" width="11.42578125" style="23"/>
    <col min="8248" max="8248" width="13.28515625" style="23" customWidth="1"/>
    <col min="8249" max="8490" width="11.42578125" style="23"/>
    <col min="8491" max="8491" width="36.7109375" style="23" customWidth="1"/>
    <col min="8492" max="8492" width="12.7109375" style="23" customWidth="1"/>
    <col min="8493" max="8493" width="10.7109375" style="23" customWidth="1"/>
    <col min="8494" max="8494" width="12.7109375" style="23" customWidth="1"/>
    <col min="8495" max="8496" width="10.7109375" style="23" customWidth="1"/>
    <col min="8497" max="8503" width="11.42578125" style="23"/>
    <col min="8504" max="8504" width="13.28515625" style="23" customWidth="1"/>
    <col min="8505" max="8746" width="11.42578125" style="23"/>
    <col min="8747" max="8747" width="36.7109375" style="23" customWidth="1"/>
    <col min="8748" max="8748" width="12.7109375" style="23" customWidth="1"/>
    <col min="8749" max="8749" width="10.7109375" style="23" customWidth="1"/>
    <col min="8750" max="8750" width="12.7109375" style="23" customWidth="1"/>
    <col min="8751" max="8752" width="10.7109375" style="23" customWidth="1"/>
    <col min="8753" max="8759" width="11.42578125" style="23"/>
    <col min="8760" max="8760" width="13.28515625" style="23" customWidth="1"/>
    <col min="8761" max="9002" width="11.42578125" style="23"/>
    <col min="9003" max="9003" width="36.7109375" style="23" customWidth="1"/>
    <col min="9004" max="9004" width="12.7109375" style="23" customWidth="1"/>
    <col min="9005" max="9005" width="10.7109375" style="23" customWidth="1"/>
    <col min="9006" max="9006" width="12.7109375" style="23" customWidth="1"/>
    <col min="9007" max="9008" width="10.7109375" style="23" customWidth="1"/>
    <col min="9009" max="9015" width="11.42578125" style="23"/>
    <col min="9016" max="9016" width="13.28515625" style="23" customWidth="1"/>
    <col min="9017" max="9258" width="11.42578125" style="23"/>
    <col min="9259" max="9259" width="36.7109375" style="23" customWidth="1"/>
    <col min="9260" max="9260" width="12.7109375" style="23" customWidth="1"/>
    <col min="9261" max="9261" width="10.7109375" style="23" customWidth="1"/>
    <col min="9262" max="9262" width="12.7109375" style="23" customWidth="1"/>
    <col min="9263" max="9264" width="10.7109375" style="23" customWidth="1"/>
    <col min="9265" max="9271" width="11.42578125" style="23"/>
    <col min="9272" max="9272" width="13.28515625" style="23" customWidth="1"/>
    <col min="9273" max="9514" width="11.42578125" style="23"/>
    <col min="9515" max="9515" width="36.7109375" style="23" customWidth="1"/>
    <col min="9516" max="9516" width="12.7109375" style="23" customWidth="1"/>
    <col min="9517" max="9517" width="10.7109375" style="23" customWidth="1"/>
    <col min="9518" max="9518" width="12.7109375" style="23" customWidth="1"/>
    <col min="9519" max="9520" width="10.7109375" style="23" customWidth="1"/>
    <col min="9521" max="9527" width="11.42578125" style="23"/>
    <col min="9528" max="9528" width="13.28515625" style="23" customWidth="1"/>
    <col min="9529" max="9770" width="11.42578125" style="23"/>
    <col min="9771" max="9771" width="36.7109375" style="23" customWidth="1"/>
    <col min="9772" max="9772" width="12.7109375" style="23" customWidth="1"/>
    <col min="9773" max="9773" width="10.7109375" style="23" customWidth="1"/>
    <col min="9774" max="9774" width="12.7109375" style="23" customWidth="1"/>
    <col min="9775" max="9776" width="10.7109375" style="23" customWidth="1"/>
    <col min="9777" max="9783" width="11.42578125" style="23"/>
    <col min="9784" max="9784" width="13.28515625" style="23" customWidth="1"/>
    <col min="9785" max="10026" width="11.42578125" style="23"/>
    <col min="10027" max="10027" width="36.7109375" style="23" customWidth="1"/>
    <col min="10028" max="10028" width="12.7109375" style="23" customWidth="1"/>
    <col min="10029" max="10029" width="10.7109375" style="23" customWidth="1"/>
    <col min="10030" max="10030" width="12.7109375" style="23" customWidth="1"/>
    <col min="10031" max="10032" width="10.7109375" style="23" customWidth="1"/>
    <col min="10033" max="10039" width="11.42578125" style="23"/>
    <col min="10040" max="10040" width="13.28515625" style="23" customWidth="1"/>
    <col min="10041" max="10282" width="11.42578125" style="23"/>
    <col min="10283" max="10283" width="36.7109375" style="23" customWidth="1"/>
    <col min="10284" max="10284" width="12.7109375" style="23" customWidth="1"/>
    <col min="10285" max="10285" width="10.7109375" style="23" customWidth="1"/>
    <col min="10286" max="10286" width="12.7109375" style="23" customWidth="1"/>
    <col min="10287" max="10288" width="10.7109375" style="23" customWidth="1"/>
    <col min="10289" max="10295" width="11.42578125" style="23"/>
    <col min="10296" max="10296" width="13.28515625" style="23" customWidth="1"/>
    <col min="10297" max="10538" width="11.42578125" style="23"/>
    <col min="10539" max="10539" width="36.7109375" style="23" customWidth="1"/>
    <col min="10540" max="10540" width="12.7109375" style="23" customWidth="1"/>
    <col min="10541" max="10541" width="10.7109375" style="23" customWidth="1"/>
    <col min="10542" max="10542" width="12.7109375" style="23" customWidth="1"/>
    <col min="10543" max="10544" width="10.7109375" style="23" customWidth="1"/>
    <col min="10545" max="10551" width="11.42578125" style="23"/>
    <col min="10552" max="10552" width="13.28515625" style="23" customWidth="1"/>
    <col min="10553" max="10794" width="11.42578125" style="23"/>
    <col min="10795" max="10795" width="36.7109375" style="23" customWidth="1"/>
    <col min="10796" max="10796" width="12.7109375" style="23" customWidth="1"/>
    <col min="10797" max="10797" width="10.7109375" style="23" customWidth="1"/>
    <col min="10798" max="10798" width="12.7109375" style="23" customWidth="1"/>
    <col min="10799" max="10800" width="10.7109375" style="23" customWidth="1"/>
    <col min="10801" max="10807" width="11.42578125" style="23"/>
    <col min="10808" max="10808" width="13.28515625" style="23" customWidth="1"/>
    <col min="10809" max="11050" width="11.42578125" style="23"/>
    <col min="11051" max="11051" width="36.7109375" style="23" customWidth="1"/>
    <col min="11052" max="11052" width="12.7109375" style="23" customWidth="1"/>
    <col min="11053" max="11053" width="10.7109375" style="23" customWidth="1"/>
    <col min="11054" max="11054" width="12.7109375" style="23" customWidth="1"/>
    <col min="11055" max="11056" width="10.7109375" style="23" customWidth="1"/>
    <col min="11057" max="11063" width="11.42578125" style="23"/>
    <col min="11064" max="11064" width="13.28515625" style="23" customWidth="1"/>
    <col min="11065" max="11306" width="11.42578125" style="23"/>
    <col min="11307" max="11307" width="36.7109375" style="23" customWidth="1"/>
    <col min="11308" max="11308" width="12.7109375" style="23" customWidth="1"/>
    <col min="11309" max="11309" width="10.7109375" style="23" customWidth="1"/>
    <col min="11310" max="11310" width="12.7109375" style="23" customWidth="1"/>
    <col min="11311" max="11312" width="10.7109375" style="23" customWidth="1"/>
    <col min="11313" max="11319" width="11.42578125" style="23"/>
    <col min="11320" max="11320" width="13.28515625" style="23" customWidth="1"/>
    <col min="11321" max="11562" width="11.42578125" style="23"/>
    <col min="11563" max="11563" width="36.7109375" style="23" customWidth="1"/>
    <col min="11564" max="11564" width="12.7109375" style="23" customWidth="1"/>
    <col min="11565" max="11565" width="10.7109375" style="23" customWidth="1"/>
    <col min="11566" max="11566" width="12.7109375" style="23" customWidth="1"/>
    <col min="11567" max="11568" width="10.7109375" style="23" customWidth="1"/>
    <col min="11569" max="11575" width="11.42578125" style="23"/>
    <col min="11576" max="11576" width="13.28515625" style="23" customWidth="1"/>
    <col min="11577" max="11818" width="11.42578125" style="23"/>
    <col min="11819" max="11819" width="36.7109375" style="23" customWidth="1"/>
    <col min="11820" max="11820" width="12.7109375" style="23" customWidth="1"/>
    <col min="11821" max="11821" width="10.7109375" style="23" customWidth="1"/>
    <col min="11822" max="11822" width="12.7109375" style="23" customWidth="1"/>
    <col min="11823" max="11824" width="10.7109375" style="23" customWidth="1"/>
    <col min="11825" max="11831" width="11.42578125" style="23"/>
    <col min="11832" max="11832" width="13.28515625" style="23" customWidth="1"/>
    <col min="11833" max="12074" width="11.42578125" style="23"/>
    <col min="12075" max="12075" width="36.7109375" style="23" customWidth="1"/>
    <col min="12076" max="12076" width="12.7109375" style="23" customWidth="1"/>
    <col min="12077" max="12077" width="10.7109375" style="23" customWidth="1"/>
    <col min="12078" max="12078" width="12.7109375" style="23" customWidth="1"/>
    <col min="12079" max="12080" width="10.7109375" style="23" customWidth="1"/>
    <col min="12081" max="12087" width="11.42578125" style="23"/>
    <col min="12088" max="12088" width="13.28515625" style="23" customWidth="1"/>
    <col min="12089" max="12330" width="11.42578125" style="23"/>
    <col min="12331" max="12331" width="36.7109375" style="23" customWidth="1"/>
    <col min="12332" max="12332" width="12.7109375" style="23" customWidth="1"/>
    <col min="12333" max="12333" width="10.7109375" style="23" customWidth="1"/>
    <col min="12334" max="12334" width="12.7109375" style="23" customWidth="1"/>
    <col min="12335" max="12336" width="10.7109375" style="23" customWidth="1"/>
    <col min="12337" max="12343" width="11.42578125" style="23"/>
    <col min="12344" max="12344" width="13.28515625" style="23" customWidth="1"/>
    <col min="12345" max="12586" width="11.42578125" style="23"/>
    <col min="12587" max="12587" width="36.7109375" style="23" customWidth="1"/>
    <col min="12588" max="12588" width="12.7109375" style="23" customWidth="1"/>
    <col min="12589" max="12589" width="10.7109375" style="23" customWidth="1"/>
    <col min="12590" max="12590" width="12.7109375" style="23" customWidth="1"/>
    <col min="12591" max="12592" width="10.7109375" style="23" customWidth="1"/>
    <col min="12593" max="12599" width="11.42578125" style="23"/>
    <col min="12600" max="12600" width="13.28515625" style="23" customWidth="1"/>
    <col min="12601" max="12842" width="11.42578125" style="23"/>
    <col min="12843" max="12843" width="36.7109375" style="23" customWidth="1"/>
    <col min="12844" max="12844" width="12.7109375" style="23" customWidth="1"/>
    <col min="12845" max="12845" width="10.7109375" style="23" customWidth="1"/>
    <col min="12846" max="12846" width="12.7109375" style="23" customWidth="1"/>
    <col min="12847" max="12848" width="10.7109375" style="23" customWidth="1"/>
    <col min="12849" max="12855" width="11.42578125" style="23"/>
    <col min="12856" max="12856" width="13.28515625" style="23" customWidth="1"/>
    <col min="12857" max="13098" width="11.42578125" style="23"/>
    <col min="13099" max="13099" width="36.7109375" style="23" customWidth="1"/>
    <col min="13100" max="13100" width="12.7109375" style="23" customWidth="1"/>
    <col min="13101" max="13101" width="10.7109375" style="23" customWidth="1"/>
    <col min="13102" max="13102" width="12.7109375" style="23" customWidth="1"/>
    <col min="13103" max="13104" width="10.7109375" style="23" customWidth="1"/>
    <col min="13105" max="13111" width="11.42578125" style="23"/>
    <col min="13112" max="13112" width="13.28515625" style="23" customWidth="1"/>
    <col min="13113" max="13354" width="11.42578125" style="23"/>
    <col min="13355" max="13355" width="36.7109375" style="23" customWidth="1"/>
    <col min="13356" max="13356" width="12.7109375" style="23" customWidth="1"/>
    <col min="13357" max="13357" width="10.7109375" style="23" customWidth="1"/>
    <col min="13358" max="13358" width="12.7109375" style="23" customWidth="1"/>
    <col min="13359" max="13360" width="10.7109375" style="23" customWidth="1"/>
    <col min="13361" max="13367" width="11.42578125" style="23"/>
    <col min="13368" max="13368" width="13.28515625" style="23" customWidth="1"/>
    <col min="13369" max="13610" width="11.42578125" style="23"/>
    <col min="13611" max="13611" width="36.7109375" style="23" customWidth="1"/>
    <col min="13612" max="13612" width="12.7109375" style="23" customWidth="1"/>
    <col min="13613" max="13613" width="10.7109375" style="23" customWidth="1"/>
    <col min="13614" max="13614" width="12.7109375" style="23" customWidth="1"/>
    <col min="13615" max="13616" width="10.7109375" style="23" customWidth="1"/>
    <col min="13617" max="13623" width="11.42578125" style="23"/>
    <col min="13624" max="13624" width="13.28515625" style="23" customWidth="1"/>
    <col min="13625" max="13866" width="11.42578125" style="23"/>
    <col min="13867" max="13867" width="36.7109375" style="23" customWidth="1"/>
    <col min="13868" max="13868" width="12.7109375" style="23" customWidth="1"/>
    <col min="13869" max="13869" width="10.7109375" style="23" customWidth="1"/>
    <col min="13870" max="13870" width="12.7109375" style="23" customWidth="1"/>
    <col min="13871" max="13872" width="10.7109375" style="23" customWidth="1"/>
    <col min="13873" max="13879" width="11.42578125" style="23"/>
    <col min="13880" max="13880" width="13.28515625" style="23" customWidth="1"/>
    <col min="13881" max="14122" width="11.42578125" style="23"/>
    <col min="14123" max="14123" width="36.7109375" style="23" customWidth="1"/>
    <col min="14124" max="14124" width="12.7109375" style="23" customWidth="1"/>
    <col min="14125" max="14125" width="10.7109375" style="23" customWidth="1"/>
    <col min="14126" max="14126" width="12.7109375" style="23" customWidth="1"/>
    <col min="14127" max="14128" width="10.7109375" style="23" customWidth="1"/>
    <col min="14129" max="14135" width="11.42578125" style="23"/>
    <col min="14136" max="14136" width="13.28515625" style="23" customWidth="1"/>
    <col min="14137" max="14378" width="11.42578125" style="23"/>
    <col min="14379" max="14379" width="36.7109375" style="23" customWidth="1"/>
    <col min="14380" max="14380" width="12.7109375" style="23" customWidth="1"/>
    <col min="14381" max="14381" width="10.7109375" style="23" customWidth="1"/>
    <col min="14382" max="14382" width="12.7109375" style="23" customWidth="1"/>
    <col min="14383" max="14384" width="10.7109375" style="23" customWidth="1"/>
    <col min="14385" max="14391" width="11.42578125" style="23"/>
    <col min="14392" max="14392" width="13.28515625" style="23" customWidth="1"/>
    <col min="14393" max="14634" width="11.42578125" style="23"/>
    <col min="14635" max="14635" width="36.7109375" style="23" customWidth="1"/>
    <col min="14636" max="14636" width="12.7109375" style="23" customWidth="1"/>
    <col min="14637" max="14637" width="10.7109375" style="23" customWidth="1"/>
    <col min="14638" max="14638" width="12.7109375" style="23" customWidth="1"/>
    <col min="14639" max="14640" width="10.7109375" style="23" customWidth="1"/>
    <col min="14641" max="14647" width="11.42578125" style="23"/>
    <col min="14648" max="14648" width="13.28515625" style="23" customWidth="1"/>
    <col min="14649" max="14890" width="11.42578125" style="23"/>
    <col min="14891" max="14891" width="36.7109375" style="23" customWidth="1"/>
    <col min="14892" max="14892" width="12.7109375" style="23" customWidth="1"/>
    <col min="14893" max="14893" width="10.7109375" style="23" customWidth="1"/>
    <col min="14894" max="14894" width="12.7109375" style="23" customWidth="1"/>
    <col min="14895" max="14896" width="10.7109375" style="23" customWidth="1"/>
    <col min="14897" max="14903" width="11.42578125" style="23"/>
    <col min="14904" max="14904" width="13.28515625" style="23" customWidth="1"/>
    <col min="14905" max="15146" width="11.42578125" style="23"/>
    <col min="15147" max="15147" width="36.7109375" style="23" customWidth="1"/>
    <col min="15148" max="15148" width="12.7109375" style="23" customWidth="1"/>
    <col min="15149" max="15149" width="10.7109375" style="23" customWidth="1"/>
    <col min="15150" max="15150" width="12.7109375" style="23" customWidth="1"/>
    <col min="15151" max="15152" width="10.7109375" style="23" customWidth="1"/>
    <col min="15153" max="15159" width="11.42578125" style="23"/>
    <col min="15160" max="15160" width="13.28515625" style="23" customWidth="1"/>
    <col min="15161" max="15402" width="11.42578125" style="23"/>
    <col min="15403" max="15403" width="36.7109375" style="23" customWidth="1"/>
    <col min="15404" max="15404" width="12.7109375" style="23" customWidth="1"/>
    <col min="15405" max="15405" width="10.7109375" style="23" customWidth="1"/>
    <col min="15406" max="15406" width="12.7109375" style="23" customWidth="1"/>
    <col min="15407" max="15408" width="10.7109375" style="23" customWidth="1"/>
    <col min="15409" max="15415" width="11.42578125" style="23"/>
    <col min="15416" max="15416" width="13.28515625" style="23" customWidth="1"/>
    <col min="15417" max="15658" width="11.42578125" style="23"/>
    <col min="15659" max="15659" width="36.7109375" style="23" customWidth="1"/>
    <col min="15660" max="15660" width="12.7109375" style="23" customWidth="1"/>
    <col min="15661" max="15661" width="10.7109375" style="23" customWidth="1"/>
    <col min="15662" max="15662" width="12.7109375" style="23" customWidth="1"/>
    <col min="15663" max="15664" width="10.7109375" style="23" customWidth="1"/>
    <col min="15665" max="15671" width="11.42578125" style="23"/>
    <col min="15672" max="15672" width="13.28515625" style="23" customWidth="1"/>
    <col min="15673" max="15914" width="11.42578125" style="23"/>
    <col min="15915" max="15915" width="36.7109375" style="23" customWidth="1"/>
    <col min="15916" max="15916" width="12.7109375" style="23" customWidth="1"/>
    <col min="15917" max="15917" width="10.7109375" style="23" customWidth="1"/>
    <col min="15918" max="15918" width="12.7109375" style="23" customWidth="1"/>
    <col min="15919" max="15920" width="10.7109375" style="23" customWidth="1"/>
    <col min="15921" max="15927" width="11.42578125" style="23"/>
    <col min="15928" max="15928" width="13.28515625" style="23" customWidth="1"/>
    <col min="15929" max="16170" width="11.42578125" style="23"/>
    <col min="16171" max="16171" width="36.7109375" style="23" customWidth="1"/>
    <col min="16172" max="16172" width="12.7109375" style="23" customWidth="1"/>
    <col min="16173" max="16173" width="10.7109375" style="23" customWidth="1"/>
    <col min="16174" max="16174" width="12.7109375" style="23" customWidth="1"/>
    <col min="16175" max="16176" width="10.7109375" style="23" customWidth="1"/>
    <col min="16177" max="16183" width="11.42578125" style="23"/>
    <col min="16184" max="16184" width="13.28515625" style="23" customWidth="1"/>
    <col min="16185" max="16384" width="11.42578125" style="23"/>
  </cols>
  <sheetData>
    <row r="2" spans="41:41" ht="22.5" customHeight="1"/>
    <row r="3" spans="41:41" ht="24.75" customHeight="1"/>
    <row r="4" spans="41:41">
      <c r="AO4" s="118"/>
    </row>
    <row r="6" spans="41:41">
      <c r="AO6" s="118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60" t="s">
        <v>51</v>
      </c>
    </row>
    <row r="27" spans="2:12" ht="36.75" customHeight="1"/>
    <row r="28" spans="2:12"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</row>
    <row r="30" spans="2:12">
      <c r="B30" s="119"/>
      <c r="C30" s="119"/>
      <c r="D30" s="120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C2:L72"/>
  <sheetViews>
    <sheetView showGridLines="0" showRowColHeaders="0" topLeftCell="B1" zoomScaleNormal="100" workbookViewId="0">
      <selection activeCell="B25" sqref="B25"/>
    </sheetView>
  </sheetViews>
  <sheetFormatPr baseColWidth="10" defaultRowHeight="15" outlineLevelRow="1"/>
  <cols>
    <col min="1" max="1" width="14.7109375" style="121" customWidth="1"/>
    <col min="2" max="3" width="11.42578125" style="121"/>
    <col min="4" max="12" width="13.85546875" style="121" customWidth="1"/>
    <col min="13" max="16384" width="11.42578125" style="121"/>
  </cols>
  <sheetData>
    <row r="2" spans="3:12" ht="44.25" customHeight="1"/>
    <row r="3" spans="3:12" ht="27" customHeight="1">
      <c r="C3" s="122" t="s">
        <v>91</v>
      </c>
      <c r="D3" s="122"/>
      <c r="E3" s="122"/>
      <c r="F3" s="122"/>
      <c r="G3" s="122"/>
      <c r="H3" s="122"/>
      <c r="I3" s="122"/>
      <c r="J3" s="122"/>
      <c r="K3" s="122"/>
      <c r="L3" s="122"/>
    </row>
    <row r="4" spans="3:12" s="126" customFormat="1" ht="24.75" customHeight="1">
      <c r="C4" s="123"/>
      <c r="D4" s="124" t="s">
        <v>89</v>
      </c>
      <c r="E4" s="125"/>
      <c r="F4" s="125"/>
      <c r="G4" s="124" t="s">
        <v>92</v>
      </c>
      <c r="H4" s="125"/>
      <c r="I4" s="125"/>
      <c r="J4" s="124" t="s">
        <v>93</v>
      </c>
      <c r="K4" s="125"/>
      <c r="L4" s="125"/>
    </row>
    <row r="5" spans="3:12" s="126" customFormat="1" ht="30">
      <c r="C5" s="127"/>
      <c r="D5" s="128" t="s">
        <v>94</v>
      </c>
      <c r="E5" s="128" t="s">
        <v>95</v>
      </c>
      <c r="F5" s="128" t="s">
        <v>69</v>
      </c>
      <c r="G5" s="128" t="s">
        <v>94</v>
      </c>
      <c r="H5" s="128" t="s">
        <v>95</v>
      </c>
      <c r="I5" s="128" t="s">
        <v>69</v>
      </c>
      <c r="J5" s="128" t="s">
        <v>96</v>
      </c>
      <c r="K5" s="128" t="s">
        <v>95</v>
      </c>
      <c r="L5" s="128" t="s">
        <v>36</v>
      </c>
    </row>
    <row r="6" spans="3:12" hidden="1">
      <c r="C6" s="51" t="s">
        <v>37</v>
      </c>
      <c r="D6" s="129" t="e">
        <f>GETPIVOTDATA("dato",'[1]Turistas zona y tipología'!$I$4,"categoría","Hoteleros","mes",12,"año",2010)</f>
        <v>#REF!</v>
      </c>
      <c r="E6" s="129" t="e">
        <f>GETPIVOTDATA("dato",'[1]Turistas zona y tipología'!$I$4,"categoría","EXTRAHOTELEROS","mes",12,"año",2010)</f>
        <v>#REF!</v>
      </c>
      <c r="F6" s="129" t="e">
        <f>GETPIVOTDATA("dato",'[1]Turistas zona y tipología'!$I$4,"categoría","TOTAL","mes",12,"año",2010)</f>
        <v>#REF!</v>
      </c>
      <c r="G6" s="129" t="e">
        <f>GETPIVOTDATA("Hotel Sur",'[1]Turistas zona y tipología'!$A$4,"MES",12,"AÑO",2010)</f>
        <v>#REF!</v>
      </c>
      <c r="H6" s="129" t="e">
        <f>GETPIVOTDATA("Extrahotelera Sur",'[1]Turistas zona y tipología'!$A$4,"MES",12,"AÑO",2010)</f>
        <v>#REF!</v>
      </c>
      <c r="I6" s="129" t="e">
        <f>GETPIVOTDATA("Total Sur",'[1]Turistas zona y tipología'!$A$4,"MES",12,"AÑO",2010)</f>
        <v>#REF!</v>
      </c>
      <c r="J6" s="129" t="e">
        <f>GETPIVOTDATA("Total Hotel",'[1]Turistas zona y tipología'!$A$4,"MES",12,"AÑO",2010)</f>
        <v>#REF!</v>
      </c>
      <c r="K6" s="129" t="e">
        <f>GETPIVOTDATA("  Total Extrahoteleros",'[1]Turistas zona y tipología'!$A$4,"MES",12,"AÑO",2010)</f>
        <v>#REF!</v>
      </c>
      <c r="L6" s="129" t="e">
        <f>GETPIVOTDATA(" TOTAL GENERAL",'[1]Turistas zona y tipología'!$A$4,"MES",12,"AÑO",2010)</f>
        <v>#REF!</v>
      </c>
    </row>
    <row r="7" spans="3:12" hidden="1">
      <c r="C7" s="51" t="s">
        <v>38</v>
      </c>
      <c r="D7" s="129" t="e">
        <f>GETPIVOTDATA("dato",'[1]Turistas zona y tipología'!$I$4,"categoría","Hoteleros","mes",11,"año",2010)</f>
        <v>#REF!</v>
      </c>
      <c r="E7" s="129" t="e">
        <f>GETPIVOTDATA("dato",'[1]Turistas zona y tipología'!$I$4,"categoría","EXTRAHOTELEROS","mes",11,"año",2010)</f>
        <v>#REF!</v>
      </c>
      <c r="F7" s="129" t="e">
        <f>GETPIVOTDATA("dato",'[1]Turistas zona y tipología'!$I$4,"categoría","TOTAL","mes",11,"año",2010)</f>
        <v>#REF!</v>
      </c>
      <c r="G7" s="129" t="e">
        <f>GETPIVOTDATA("Hotel Sur",'[1]Turistas zona y tipología'!$A$4,"MES",11,"AÑO",2010)</f>
        <v>#REF!</v>
      </c>
      <c r="H7" s="129" t="e">
        <f>GETPIVOTDATA("Extrahotelera Sur",'[1]Turistas zona y tipología'!$A$4,"MES",11,"AÑO",2010)</f>
        <v>#REF!</v>
      </c>
      <c r="I7" s="129" t="e">
        <f>GETPIVOTDATA("Total Sur",'[1]Turistas zona y tipología'!$A$4,"MES",11,"AÑO",2010)</f>
        <v>#REF!</v>
      </c>
      <c r="J7" s="129" t="e">
        <f>GETPIVOTDATA("Total Hotel",'[1]Turistas zona y tipología'!$A$4,"MES",11,"AÑO",2010)</f>
        <v>#REF!</v>
      </c>
      <c r="K7" s="129" t="e">
        <f>GETPIVOTDATA("  Total Extrahoteleros",'[1]Turistas zona y tipología'!$A$4,"MES",11,"AÑO",2010)</f>
        <v>#REF!</v>
      </c>
      <c r="L7" s="129" t="e">
        <f>GETPIVOTDATA(" TOTAL GENERAL",'[1]Turistas zona y tipología'!$A$4,"MES",11,"AÑO",2010)</f>
        <v>#REF!</v>
      </c>
    </row>
    <row r="8" spans="3:12" hidden="1">
      <c r="C8" s="51" t="s">
        <v>39</v>
      </c>
      <c r="D8" s="129" t="e">
        <f>GETPIVOTDATA("dato",'[1]Turistas zona y tipología'!$I$4,"categoría","Hoteleros","mes",10,"año",2010)</f>
        <v>#REF!</v>
      </c>
      <c r="E8" s="129" t="e">
        <f>GETPIVOTDATA("dato",'[1]Turistas zona y tipología'!$I$4,"categoría","EXTRAHOTELEROS","mes",10,"año",2010)</f>
        <v>#REF!</v>
      </c>
      <c r="F8" s="129" t="e">
        <f>GETPIVOTDATA("dato",'[1]Turistas zona y tipología'!$I$4,"categoría","TOTAL","mes",10,"año",2010)</f>
        <v>#REF!</v>
      </c>
      <c r="G8" s="129" t="e">
        <f>GETPIVOTDATA("Hotel Sur",'[1]Turistas zona y tipología'!$A$4,"MES",10,"AÑO",2010)</f>
        <v>#REF!</v>
      </c>
      <c r="H8" s="129" t="e">
        <f>GETPIVOTDATA("Extrahotelera Sur",'[1]Turistas zona y tipología'!$A$4,"MES",10,"AÑO",2010)</f>
        <v>#REF!</v>
      </c>
      <c r="I8" s="129" t="e">
        <f>GETPIVOTDATA("Total Sur",'[1]Turistas zona y tipología'!$A$4,"MES",10,"AÑO",2010)</f>
        <v>#REF!</v>
      </c>
      <c r="J8" s="129" t="e">
        <f>GETPIVOTDATA("Total Hotel",'[1]Turistas zona y tipología'!$A$4,"MES",10,"AÑO",2010)</f>
        <v>#REF!</v>
      </c>
      <c r="K8" s="129" t="e">
        <f>GETPIVOTDATA("  Total Extrahoteleros",'[1]Turistas zona y tipología'!$A$4,"MES",10,"AÑO",2010)</f>
        <v>#REF!</v>
      </c>
      <c r="L8" s="129" t="e">
        <f>GETPIVOTDATA(" TOTAL GENERAL",'[1]Turistas zona y tipología'!$A$4,"MES",10,"AÑO",2010)</f>
        <v>#REF!</v>
      </c>
    </row>
    <row r="9" spans="3:12" hidden="1">
      <c r="C9" s="51" t="s">
        <v>40</v>
      </c>
      <c r="D9" s="129" t="e">
        <f>GETPIVOTDATA("dato",'[1]Turistas zona y tipología'!$I$4,"categoría","Hoteleros","mes",9,"año",2010)</f>
        <v>#REF!</v>
      </c>
      <c r="E9" s="129" t="e">
        <f>GETPIVOTDATA("dato",'[1]Turistas zona y tipología'!$I$4,"categoría","EXTRAHOTELEROS","mes",9,"año",2010)</f>
        <v>#REF!</v>
      </c>
      <c r="F9" s="129" t="e">
        <f>GETPIVOTDATA("dato",'[1]Turistas zona y tipología'!$I$4,"categoría","TOTAL","mes",9,"año",2010)</f>
        <v>#REF!</v>
      </c>
      <c r="G9" s="129" t="e">
        <f>GETPIVOTDATA("Hotel Sur",'[1]Turistas zona y tipología'!$A$4,"MES",9,"AÑO",2010)</f>
        <v>#REF!</v>
      </c>
      <c r="H9" s="129" t="e">
        <f>GETPIVOTDATA("Extrahotelera Sur",'[1]Turistas zona y tipología'!$A$4,"MES",9,"AÑO",2010)</f>
        <v>#REF!</v>
      </c>
      <c r="I9" s="129" t="e">
        <f>GETPIVOTDATA("Total Sur",'[1]Turistas zona y tipología'!$A$4,"MES",9,"AÑO",2010)</f>
        <v>#REF!</v>
      </c>
      <c r="J9" s="129" t="e">
        <f>GETPIVOTDATA("Total Hotel",'[1]Turistas zona y tipología'!$A$4,"MES",9,"AÑO",2010)</f>
        <v>#REF!</v>
      </c>
      <c r="K9" s="129" t="e">
        <f>GETPIVOTDATA("  Total Extrahoteleros",'[1]Turistas zona y tipología'!$A$4,"MES",9,"AÑO",2010)</f>
        <v>#REF!</v>
      </c>
      <c r="L9" s="129" t="e">
        <f>GETPIVOTDATA(" TOTAL GENERAL",'[1]Turistas zona y tipología'!$A$4,"MES",9,"AÑO",2010)</f>
        <v>#REF!</v>
      </c>
    </row>
    <row r="10" spans="3:12" hidden="1">
      <c r="C10" s="51" t="s">
        <v>41</v>
      </c>
      <c r="D10" s="129" t="e">
        <f>GETPIVOTDATA("dato",'[1]Turistas zona y tipología'!$I$4,"categoría","Hoteleros","mes",8,"año",2010)</f>
        <v>#REF!</v>
      </c>
      <c r="E10" s="129" t="e">
        <f>GETPIVOTDATA("dato",'[1]Turistas zona y tipología'!$I$4,"categoría","EXTRAHOTELEROS","mes",8,"año",2010)</f>
        <v>#REF!</v>
      </c>
      <c r="F10" s="129" t="e">
        <f>GETPIVOTDATA("dato",'[1]Turistas zona y tipología'!$I$4,"categoría","TOTAL","mes",8,"año",2010)</f>
        <v>#REF!</v>
      </c>
      <c r="G10" s="129" t="e">
        <f>GETPIVOTDATA("Hotel Sur",'[1]Turistas zona y tipología'!$A$4,"MES",8,"AÑO",2010)</f>
        <v>#REF!</v>
      </c>
      <c r="H10" s="129" t="e">
        <f>GETPIVOTDATA("Extrahotelera Sur",'[1]Turistas zona y tipología'!$A$4,"MES",8,"AÑO",2010)</f>
        <v>#REF!</v>
      </c>
      <c r="I10" s="129" t="e">
        <f>GETPIVOTDATA("Total Sur",'[1]Turistas zona y tipología'!$A$4,"MES",8,"AÑO",2010)</f>
        <v>#REF!</v>
      </c>
      <c r="J10" s="129" t="e">
        <f>GETPIVOTDATA("Total Hotel",'[1]Turistas zona y tipología'!$A$4,"MES",8,"AÑO",2010)</f>
        <v>#REF!</v>
      </c>
      <c r="K10" s="129" t="e">
        <f>GETPIVOTDATA("  Total Extrahoteleros",'[1]Turistas zona y tipología'!$A$4,"MES",8,"AÑO",2010)</f>
        <v>#REF!</v>
      </c>
      <c r="L10" s="129" t="e">
        <f>GETPIVOTDATA(" TOTAL GENERAL",'[1]Turistas zona y tipología'!$A$4,"MES",8,"AÑO",2010)</f>
        <v>#REF!</v>
      </c>
    </row>
    <row r="11" spans="3:12">
      <c r="C11" s="51" t="s">
        <v>42</v>
      </c>
      <c r="D11" s="129">
        <f>GETPIVOTDATA("dato",'[1]Turistas zona y tipología'!$I$4,"categoría","Hoteleros","mes",7,"año",2010)</f>
        <v>104585</v>
      </c>
      <c r="E11" s="129">
        <f>GETPIVOTDATA("dato",'[1]Turistas zona y tipología'!$I$4,"categoría","EXTRAHOTELEROS","mes",7,"año",2010)</f>
        <v>58786</v>
      </c>
      <c r="F11" s="129">
        <f>GETPIVOTDATA("dato",'[1]Turistas zona y tipología'!$I$4,"categoría","TOTAL","mes",7,"año",2010)</f>
        <v>163371</v>
      </c>
      <c r="G11" s="129">
        <f>GETPIVOTDATA("Hotel Sur",'[1]Turistas zona y tipología'!$A$4,"MES",7,"AÑO",2010)</f>
        <v>205258</v>
      </c>
      <c r="H11" s="129">
        <f>GETPIVOTDATA("Extrahotelera Sur",'[1]Turistas zona y tipología'!$A$4,"MES",7,"AÑO",2010)</f>
        <v>164062</v>
      </c>
      <c r="I11" s="129">
        <f>GETPIVOTDATA("Total Sur",'[1]Turistas zona y tipología'!$A$4,"MES",7,"AÑO",2010)</f>
        <v>369320</v>
      </c>
      <c r="J11" s="129">
        <f>GETPIVOTDATA("Total Hotel",'[1]Turistas zona y tipología'!$A$4,"MES",7,"AÑO",2010)</f>
        <v>265054</v>
      </c>
      <c r="K11" s="129">
        <f>GETPIVOTDATA("  Total Extrahoteleros",'[1]Turistas zona y tipología'!$A$4,"MES",7,"AÑO",2010)</f>
        <v>186205</v>
      </c>
      <c r="L11" s="129">
        <f>GETPIVOTDATA(" TOTAL GENERAL",'[1]Turistas zona y tipología'!$A$4,"MES",7,"AÑO",2010)</f>
        <v>451259</v>
      </c>
    </row>
    <row r="12" spans="3:12">
      <c r="C12" s="51" t="s">
        <v>43</v>
      </c>
      <c r="D12" s="129">
        <f>GETPIVOTDATA("dato",'[1]Turistas zona y tipología'!$I$4,"categoría","Hoteleros","mes",6,"año",2010)</f>
        <v>86210</v>
      </c>
      <c r="E12" s="129">
        <f>GETPIVOTDATA("dato",'[1]Turistas zona y tipología'!$I$4,"categoría","EXTRAHOTELEROS","mes",6,"año",2010)</f>
        <v>42687</v>
      </c>
      <c r="F12" s="129">
        <f>GETPIVOTDATA("dato",'[1]Turistas zona y tipología'!$I$4,"categoría","TOTAL","mes",6,"año",2010)</f>
        <v>128897</v>
      </c>
      <c r="G12" s="129">
        <f>GETPIVOTDATA("Hotel Sur",'[1]Turistas zona y tipología'!$A$4,"MES",6,"AÑO",2010)</f>
        <v>167745</v>
      </c>
      <c r="H12" s="129">
        <f>GETPIVOTDATA("Extrahotelera Sur",'[1]Turistas zona y tipología'!$A$4,"MES",6,"AÑO",2010)</f>
        <v>119707</v>
      </c>
      <c r="I12" s="129">
        <f>GETPIVOTDATA("Total Sur",'[1]Turistas zona y tipología'!$A$4,"MES",6,"AÑO",2010)</f>
        <v>287452</v>
      </c>
      <c r="J12" s="129">
        <f>GETPIVOTDATA("Total Hotel",'[1]Turistas zona y tipología'!$A$4,"MES",6,"AÑO",2010)</f>
        <v>230853</v>
      </c>
      <c r="K12" s="129">
        <f>GETPIVOTDATA("  Total Extrahoteleros",'[1]Turistas zona y tipología'!$A$4,"MES",6,"AÑO",2010)</f>
        <v>144090</v>
      </c>
      <c r="L12" s="129">
        <f>GETPIVOTDATA(" TOTAL GENERAL",'[1]Turistas zona y tipología'!$A$4,"MES",6,"AÑO",2010)</f>
        <v>374943</v>
      </c>
    </row>
    <row r="13" spans="3:12">
      <c r="C13" s="51" t="s">
        <v>44</v>
      </c>
      <c r="D13" s="129">
        <f>GETPIVOTDATA("dato",'[1]Turistas zona y tipología'!$I$4,"categoría","Hoteleros","mes",5,"año",2010)</f>
        <v>92640</v>
      </c>
      <c r="E13" s="129">
        <f>GETPIVOTDATA("dato",'[1]Turistas zona y tipología'!$I$4,"categoría","EXTRAHOTELEROS","mes",5,"año",2010)</f>
        <v>39879</v>
      </c>
      <c r="F13" s="129">
        <f>GETPIVOTDATA("dato",'[1]Turistas zona y tipología'!$I$4,"categoría","TOTAL","mes",5,"año",2010)</f>
        <v>132519</v>
      </c>
      <c r="G13" s="129">
        <f>GETPIVOTDATA("Hotel Sur",'[1]Turistas zona y tipología'!$A$4,"MES",5,"AÑO",2010)</f>
        <v>173954</v>
      </c>
      <c r="H13" s="129">
        <f>GETPIVOTDATA("Extrahotelera Sur",'[1]Turistas zona y tipología'!$A$4,"MES",5,"AÑO",2010)</f>
        <v>108089</v>
      </c>
      <c r="I13" s="129">
        <f>GETPIVOTDATA("Total Sur",'[1]Turistas zona y tipología'!$A$4,"MES",5,"AÑO",2010)</f>
        <v>282043</v>
      </c>
      <c r="J13" s="129">
        <f>GETPIVOTDATA("Total Hotel",'[1]Turistas zona y tipología'!$A$4,"MES",5,"AÑO",2010)</f>
        <v>233329</v>
      </c>
      <c r="K13" s="129">
        <f>GETPIVOTDATA("  Total Extrahoteleros",'[1]Turistas zona y tipología'!$A$4,"MES",5,"AÑO",2010)</f>
        <v>127968</v>
      </c>
      <c r="L13" s="129">
        <f>GETPIVOTDATA(" TOTAL GENERAL",'[1]Turistas zona y tipología'!$A$4,"MES",5,"AÑO",2010)</f>
        <v>361297</v>
      </c>
    </row>
    <row r="14" spans="3:12">
      <c r="C14" s="51" t="s">
        <v>45</v>
      </c>
      <c r="D14" s="129">
        <f>GETPIVOTDATA("dato",'[1]Turistas zona y tipología'!$I$4,"categoría","Hoteleros","mes",4,"año",2010)</f>
        <v>102877</v>
      </c>
      <c r="E14" s="129">
        <f>GETPIVOTDATA("dato",'[1]Turistas zona y tipología'!$I$4,"categoría","EXTRAHOTELEROS","mes",4,"año",2010)</f>
        <v>53734</v>
      </c>
      <c r="F14" s="129">
        <f>GETPIVOTDATA("dato",'[1]Turistas zona y tipología'!$I$4,"categoría","TOTAL","mes",4,"año",2010)</f>
        <v>156611</v>
      </c>
      <c r="G14" s="129">
        <f>GETPIVOTDATA("Hotel Sur",'[1]Turistas zona y tipología'!$A$4,"MES",4,"AÑO",2010)</f>
        <v>197793</v>
      </c>
      <c r="H14" s="129">
        <f>GETPIVOTDATA("Extrahotelera Sur",'[1]Turistas zona y tipología'!$A$4,"MES",4,"AÑO",2010)</f>
        <v>142450</v>
      </c>
      <c r="I14" s="129">
        <f>GETPIVOTDATA("Total Sur",'[1]Turistas zona y tipología'!$A$4,"MES",4,"AÑO",2010)</f>
        <v>340243</v>
      </c>
      <c r="J14" s="129">
        <f>GETPIVOTDATA("Total Hotel",'[1]Turistas zona y tipología'!$A$4,"MES",4,"AÑO",2010)</f>
        <v>258952</v>
      </c>
      <c r="K14" s="129">
        <f>GETPIVOTDATA("  Total Extrahoteleros",'[1]Turistas zona y tipología'!$A$4,"MES",4,"AÑO",2010)</f>
        <v>163597</v>
      </c>
      <c r="L14" s="129">
        <f>GETPIVOTDATA(" TOTAL GENERAL",'[1]Turistas zona y tipología'!$A$4,"MES",4,"AÑO",2010)</f>
        <v>422549</v>
      </c>
    </row>
    <row r="15" spans="3:12">
      <c r="C15" s="51" t="s">
        <v>46</v>
      </c>
      <c r="D15" s="129">
        <f>GETPIVOTDATA("dato",'[1]Turistas zona y tipología'!$I$4,"categoría","Hoteleros","mes",3,"año",2010)</f>
        <v>90580</v>
      </c>
      <c r="E15" s="129">
        <f>GETPIVOTDATA("dato",'[1]Turistas zona y tipología'!$I$4,"categoría","EXTRAHOTELEROS","mes",3,"año",2010)</f>
        <v>49749</v>
      </c>
      <c r="F15" s="129">
        <f>GETPIVOTDATA("dato",'[1]Turistas zona y tipología'!$I$4,"categoría","TOTAL","mes",3,"año",2010)</f>
        <v>140329</v>
      </c>
      <c r="G15" s="129">
        <f>GETPIVOTDATA("Hotel Sur",'[1]Turistas zona y tipología'!$A$4,"MES",3,"AÑO",2010)</f>
        <v>177083</v>
      </c>
      <c r="H15" s="129">
        <f>GETPIVOTDATA("Extrahotelera Sur",'[1]Turistas zona y tipología'!$A$4,"MES",3,"AÑO",2010)</f>
        <v>142182</v>
      </c>
      <c r="I15" s="129">
        <f>GETPIVOTDATA("Total Sur",'[1]Turistas zona y tipología'!$A$4,"MES",3,"AÑO",2010)</f>
        <v>319265</v>
      </c>
      <c r="J15" s="129">
        <f>GETPIVOTDATA("Total Hotel",'[1]Turistas zona y tipología'!$A$4,"MES",3,"AÑO",2010)</f>
        <v>239927</v>
      </c>
      <c r="K15" s="129">
        <f>GETPIVOTDATA("  Total Extrahoteleros",'[1]Turistas zona y tipología'!$A$4,"MES",3,"AÑO",2010)</f>
        <v>164434</v>
      </c>
      <c r="L15" s="129">
        <f>GETPIVOTDATA(" TOTAL GENERAL",'[1]Turistas zona y tipología'!$A$4,"MES",3,"AÑO",2010)</f>
        <v>404361</v>
      </c>
    </row>
    <row r="16" spans="3:12">
      <c r="C16" s="51" t="s">
        <v>47</v>
      </c>
      <c r="D16" s="129">
        <f>GETPIVOTDATA("dato",'[1]Turistas zona y tipología'!$I$4,"categoría","Hoteleros","mes",2,"año",2010)</f>
        <v>82016</v>
      </c>
      <c r="E16" s="129">
        <f>GETPIVOTDATA("dato",'[1]Turistas zona y tipología'!$I$4,"categoría","EXTRAHOTELEROS","mes",2,"año",2010)</f>
        <v>43403</v>
      </c>
      <c r="F16" s="129">
        <f>GETPIVOTDATA("dato",'[1]Turistas zona y tipología'!$I$4,"categoría","TOTAL","mes",2,"año",2010)</f>
        <v>125419</v>
      </c>
      <c r="G16" s="129">
        <f>GETPIVOTDATA("Hotel Sur",'[1]Turistas zona y tipología'!$A$4,"MES",2,"AÑO",2010)</f>
        <v>160394</v>
      </c>
      <c r="H16" s="129">
        <f>GETPIVOTDATA("Extrahotelera Sur",'[1]Turistas zona y tipología'!$A$4,"MES",2,"AÑO",2010)</f>
        <v>127076</v>
      </c>
      <c r="I16" s="129">
        <f>GETPIVOTDATA("Total Sur",'[1]Turistas zona y tipología'!$A$4,"MES",2,"AÑO",2010)</f>
        <v>287470</v>
      </c>
      <c r="J16" s="129">
        <f>GETPIVOTDATA("Total Hotel",'[1]Turistas zona y tipología'!$A$4,"MES",2,"AÑO",2010)</f>
        <v>223216</v>
      </c>
      <c r="K16" s="129">
        <f>GETPIVOTDATA("  Total Extrahoteleros",'[1]Turistas zona y tipología'!$A$4,"MES",2,"AÑO",2010)</f>
        <v>146331</v>
      </c>
      <c r="L16" s="129">
        <f>GETPIVOTDATA(" TOTAL GENERAL",'[1]Turistas zona y tipología'!$A$4,"MES",2,"AÑO",2010)</f>
        <v>369547</v>
      </c>
    </row>
    <row r="17" spans="3:12">
      <c r="C17" s="51" t="s">
        <v>48</v>
      </c>
      <c r="D17" s="129">
        <f>GETPIVOTDATA("dato",'[1]Turistas zona y tipología'!$I$4,"categoría","Hoteleros","mes",1,"año",2010)</f>
        <v>85215</v>
      </c>
      <c r="E17" s="129">
        <f>GETPIVOTDATA("dato",'[1]Turistas zona y tipología'!$I$4,"categoría","EXTRAHOTELEROS","mes",1,"año",2010)</f>
        <v>46322</v>
      </c>
      <c r="F17" s="129">
        <f>GETPIVOTDATA("dato",'[1]Turistas zona y tipología'!$I$4,"categoría","TOTAL","mes",1,"año",2010)</f>
        <v>131537</v>
      </c>
      <c r="G17" s="129">
        <f>GETPIVOTDATA("Hotel Sur",'[1]Turistas zona y tipología'!$A$4,"MES",1,"AÑO",2010)</f>
        <v>166831</v>
      </c>
      <c r="H17" s="129">
        <f>GETPIVOTDATA("Extrahotelera Sur",'[1]Turistas zona y tipología'!$A$4,"MES",1,"AÑO",2010)</f>
        <v>134526</v>
      </c>
      <c r="I17" s="129">
        <f>GETPIVOTDATA("Total Sur",'[1]Turistas zona y tipología'!$A$4,"MES",1,"AÑO",2010)</f>
        <v>301357</v>
      </c>
      <c r="J17" s="129">
        <f>GETPIVOTDATA("Total Hotel",'[1]Turistas zona y tipología'!$A$4,"MES",1,"AÑO",2010)</f>
        <v>226497</v>
      </c>
      <c r="K17" s="129">
        <f>GETPIVOTDATA("  Total Extrahoteleros",'[1]Turistas zona y tipología'!$A$4,"MES",1,"AÑO",2010)</f>
        <v>155740</v>
      </c>
      <c r="L17" s="129">
        <f>GETPIVOTDATA(" TOTAL GENERAL",'[1]Turistas zona y tipología'!$A$4,"MES",1,"AÑO",2010)</f>
        <v>382237</v>
      </c>
    </row>
    <row r="18" spans="3:12" ht="30" customHeight="1">
      <c r="C18" s="130" t="str">
        <f>actualizaciones!A2</f>
        <v xml:space="preserve">acumulado julio 2010 </v>
      </c>
      <c r="D18" s="131">
        <f>GETPIVOTDATA("dato",'[1]Turistas zona y tipología'!$I$4,"categoría","Hoteleros","año",2010)</f>
        <v>644123</v>
      </c>
      <c r="E18" s="131">
        <f>GETPIVOTDATA("dato",'[1]Turistas zona y tipología'!$I$4,"categoría","EXTRAHOTELEROS","año",2010)</f>
        <v>334560</v>
      </c>
      <c r="F18" s="131">
        <f>GETPIVOTDATA("dato",'[1]Turistas zona y tipología'!$I$4,"categoría","TOTAL","año",2010)</f>
        <v>978683</v>
      </c>
      <c r="G18" s="131">
        <f>GETPIVOTDATA("Hotel Sur",'[1]Turistas zona y tipología'!$A$4,"AÑO",2010)</f>
        <v>1249058</v>
      </c>
      <c r="H18" s="131">
        <f>GETPIVOTDATA("Extrahotelera Sur",'[1]Turistas zona y tipología'!$A$4,"AÑO",2010)</f>
        <v>938092</v>
      </c>
      <c r="I18" s="131">
        <f>GETPIVOTDATA("Total Sur",'[1]Turistas zona y tipología'!$A$4,"AÑO",2010)</f>
        <v>2187150</v>
      </c>
      <c r="J18" s="131">
        <f>GETPIVOTDATA("Total Hotel",'[1]Turistas zona y tipología'!$A$4,"AÑO",2010)</f>
        <v>1677828</v>
      </c>
      <c r="K18" s="131">
        <f>GETPIVOTDATA("  Total Extrahoteleros",'[1]Turistas zona y tipología'!$A$4,"AÑO",2010)</f>
        <v>1088365</v>
      </c>
      <c r="L18" s="131">
        <f>GETPIVOTDATA(" TOTAL GENERAL",'[1]Turistas zona y tipología'!$A$4,"AÑO",2010)</f>
        <v>2766193</v>
      </c>
    </row>
    <row r="19" spans="3:12" hidden="1" outlineLevel="1">
      <c r="C19" s="51" t="s">
        <v>37</v>
      </c>
      <c r="D19" s="129">
        <f>GETPIVOTDATA("dato",'[1]Turistas zona y tipología'!$I$4,"categoría","Hoteleros","mes",12,"año",2009)</f>
        <v>85070</v>
      </c>
      <c r="E19" s="129">
        <f>GETPIVOTDATA("dato",'[1]Turistas zona y tipología'!$I$4,"categoría","EXTRAHOTELEROS","mes",12,"año",2009)</f>
        <v>47003</v>
      </c>
      <c r="F19" s="129">
        <f>GETPIVOTDATA("dato",'[1]Turistas zona y tipología'!$I$4,"categoría","TOTAL","mes",12,"año",2009)</f>
        <v>132073</v>
      </c>
      <c r="G19" s="129">
        <f>GETPIVOTDATA("Hotel Sur",'[1]Turistas zona y tipología'!$A$4,"MES",12,"AÑO",2009)</f>
        <v>163523</v>
      </c>
      <c r="H19" s="129">
        <f>GETPIVOTDATA("Extrahotelera Sur",'[1]Turistas zona y tipología'!$A$4,"MES",12,"AÑO",2009)</f>
        <v>130042</v>
      </c>
      <c r="I19" s="129">
        <f>GETPIVOTDATA("Total Sur",'[1]Turistas zona y tipología'!$A$4,"MES",12,"AÑO",2009)</f>
        <v>293565</v>
      </c>
      <c r="J19" s="129">
        <f>GETPIVOTDATA("Total Hotel",'[1]Turistas zona y tipología'!$A$4,"MES",12,"AÑO",2009)</f>
        <v>226348</v>
      </c>
      <c r="K19" s="129">
        <f>GETPIVOTDATA("  Total Extrahoteleros",'[1]Turistas zona y tipología'!$A$4,"MES",12,"AÑO",2009)</f>
        <v>154169</v>
      </c>
      <c r="L19" s="129">
        <f>GETPIVOTDATA(" TOTAL GENERAL",'[1]Turistas zona y tipología'!$A$4,"MES",12,"AÑO",2009)</f>
        <v>380517</v>
      </c>
    </row>
    <row r="20" spans="3:12" hidden="1" outlineLevel="1">
      <c r="C20" s="51" t="s">
        <v>38</v>
      </c>
      <c r="D20" s="129">
        <f>GETPIVOTDATA("dato",'[1]Turistas zona y tipología'!$I$4,"categoría","Hoteleros","mes",11,"año",2009)</f>
        <v>85501</v>
      </c>
      <c r="E20" s="129">
        <f>GETPIVOTDATA("dato",'[1]Turistas zona y tipología'!$I$4,"categoría","EXTRAHOTELEROS","mes",11,"año",2009)</f>
        <v>45406</v>
      </c>
      <c r="F20" s="129">
        <f>GETPIVOTDATA("dato",'[1]Turistas zona y tipología'!$I$4,"categoría","TOTAL","mes",11,"año",2009)</f>
        <v>130907</v>
      </c>
      <c r="G20" s="129">
        <f>GETPIVOTDATA("Hotel Sur",'[1]Turistas zona y tipología'!$A$4,"MES",11,"AÑO",2009)</f>
        <v>162065</v>
      </c>
      <c r="H20" s="129">
        <f>GETPIVOTDATA("Extrahotelera Sur",'[1]Turistas zona y tipología'!$A$4,"MES",11,"AÑO",2009)</f>
        <v>125188</v>
      </c>
      <c r="I20" s="129">
        <f>GETPIVOTDATA("Total Sur",'[1]Turistas zona y tipología'!$A$4,"MES",11,"AÑO",2009)</f>
        <v>287253</v>
      </c>
      <c r="J20" s="129">
        <f>GETPIVOTDATA("Total Hotel",'[1]Turistas zona y tipología'!$A$4,"MES",11,"AÑO",2009)</f>
        <v>225248</v>
      </c>
      <c r="K20" s="129">
        <f>GETPIVOTDATA("  Total Extrahoteleros",'[1]Turistas zona y tipología'!$A$4,"MES",11,"AÑO",2009)</f>
        <v>146554</v>
      </c>
      <c r="L20" s="129">
        <f>GETPIVOTDATA(" TOTAL GENERAL",'[1]Turistas zona y tipología'!$A$4,"MES",11,"AÑO",2009)</f>
        <v>371802</v>
      </c>
    </row>
    <row r="21" spans="3:12" hidden="1" outlineLevel="1">
      <c r="C21" s="51" t="s">
        <v>39</v>
      </c>
      <c r="D21" s="129">
        <f>GETPIVOTDATA("dato",'[1]Turistas zona y tipología'!$I$4,"categoría","Hoteleros","mes",10,"año",2009)</f>
        <v>94014</v>
      </c>
      <c r="E21" s="129">
        <f>GETPIVOTDATA("dato",'[1]Turistas zona y tipología'!$I$4,"categoría","EXTRAHOTELEROS","mes",10,"año",2009)</f>
        <v>51344</v>
      </c>
      <c r="F21" s="129">
        <f>GETPIVOTDATA("dato",'[1]Turistas zona y tipología'!$I$4,"categoría","TOTAL","mes",10,"año",2009)</f>
        <v>145358</v>
      </c>
      <c r="G21" s="129">
        <f>GETPIVOTDATA("Hotel Sur",'[1]Turistas zona y tipología'!$A$4,"MES",10,"AÑO",2009)</f>
        <v>182056</v>
      </c>
      <c r="H21" s="129">
        <f>GETPIVOTDATA("Extrahotelera Sur",'[1]Turistas zona y tipología'!$A$4,"MES",10,"AÑO",2009)</f>
        <v>141843</v>
      </c>
      <c r="I21" s="129">
        <f>GETPIVOTDATA("Total Sur",'[1]Turistas zona y tipología'!$A$4,"MES",10,"AÑO",2009)</f>
        <v>323899</v>
      </c>
      <c r="J21" s="129">
        <f>GETPIVOTDATA("Total Hotel",'[1]Turistas zona y tipología'!$A$4,"MES",10,"AÑO",2009)</f>
        <v>240086</v>
      </c>
      <c r="K21" s="129">
        <f>GETPIVOTDATA("  Total Extrahoteleros",'[1]Turistas zona y tipología'!$A$4,"MES",10,"AÑO",2009)</f>
        <v>164785</v>
      </c>
      <c r="L21" s="129">
        <f>GETPIVOTDATA(" TOTAL GENERAL",'[1]Turistas zona y tipología'!$A$4,"MES",10,"AÑO",2009)</f>
        <v>404871</v>
      </c>
    </row>
    <row r="22" spans="3:12" hidden="1" outlineLevel="1">
      <c r="C22" s="51" t="s">
        <v>40</v>
      </c>
      <c r="D22" s="129">
        <f>GETPIVOTDATA("dato",'[1]Turistas zona y tipología'!$I$4,"categoría","Hoteleros","mes",9,"año",2009)</f>
        <v>79462</v>
      </c>
      <c r="E22" s="129">
        <f>GETPIVOTDATA("dato",'[1]Turistas zona y tipología'!$I$4,"categoría","EXTRAHOTELEROS","mes",9,"año",2009)</f>
        <v>45133</v>
      </c>
      <c r="F22" s="129">
        <f>GETPIVOTDATA("dato",'[1]Turistas zona y tipología'!$I$4,"categoría","TOTAL","mes",9,"año",2009)</f>
        <v>124595</v>
      </c>
      <c r="G22" s="129">
        <f>GETPIVOTDATA("Hotel Sur",'[1]Turistas zona y tipología'!$A$4,"MES",9,"AÑO",2009)</f>
        <v>158465</v>
      </c>
      <c r="H22" s="129">
        <f>GETPIVOTDATA("Extrahotelera Sur",'[1]Turistas zona y tipología'!$A$4,"MES",9,"AÑO",2009)</f>
        <v>120043</v>
      </c>
      <c r="I22" s="129">
        <f>GETPIVOTDATA("Total Sur",'[1]Turistas zona y tipología'!$A$4,"MES",9,"AÑO",2009)</f>
        <v>278508</v>
      </c>
      <c r="J22" s="129">
        <f>GETPIVOTDATA("Total Hotel",'[1]Turistas zona y tipología'!$A$4,"MES",9,"AÑO",2009)</f>
        <v>213848</v>
      </c>
      <c r="K22" s="129">
        <f>GETPIVOTDATA("  Total Extrahoteleros",'[1]Turistas zona y tipología'!$A$4,"MES",9,"AÑO",2009)</f>
        <v>140366</v>
      </c>
      <c r="L22" s="129">
        <f>GETPIVOTDATA(" TOTAL GENERAL",'[1]Turistas zona y tipología'!$A$4,"MES",9,"AÑO",2009)</f>
        <v>354214</v>
      </c>
    </row>
    <row r="23" spans="3:12" hidden="1" outlineLevel="1">
      <c r="C23" s="51" t="s">
        <v>41</v>
      </c>
      <c r="D23" s="129">
        <f>GETPIVOTDATA("dato",'[1]Turistas zona y tipología'!$I$4,"categoría","Hoteleros","mes",8,"año",2009)</f>
        <v>102995</v>
      </c>
      <c r="E23" s="129">
        <f>GETPIVOTDATA("dato",'[1]Turistas zona y tipología'!$I$4,"categoría","EXTRAHOTELEROS","mes",8,"año",2009)</f>
        <v>67265</v>
      </c>
      <c r="F23" s="129">
        <f>GETPIVOTDATA("dato",'[1]Turistas zona y tipología'!$I$4,"categoría","TOTAL","mes",8,"año",2009)</f>
        <v>170260</v>
      </c>
      <c r="G23" s="129">
        <f>GETPIVOTDATA("Hotel Sur",'[1]Turistas zona y tipología'!$A$4,"MES",8,"AÑO",2009)</f>
        <v>196701</v>
      </c>
      <c r="H23" s="129">
        <f>GETPIVOTDATA("Extrahotelera Sur",'[1]Turistas zona y tipología'!$A$4,"MES",8,"AÑO",2009)</f>
        <v>166093</v>
      </c>
      <c r="I23" s="129">
        <f>GETPIVOTDATA("Total Sur",'[1]Turistas zona y tipología'!$A$4,"MES",8,"AÑO",2009)</f>
        <v>362794</v>
      </c>
      <c r="J23" s="129">
        <f>GETPIVOTDATA("Total Hotel",'[1]Turistas zona y tipología'!$A$4,"MES",8,"AÑO",2009)</f>
        <v>270226</v>
      </c>
      <c r="K23" s="129">
        <f>GETPIVOTDATA("  Total Extrahoteleros",'[1]Turistas zona y tipología'!$A$4,"MES",8,"AÑO",2009)</f>
        <v>197556</v>
      </c>
      <c r="L23" s="129">
        <f>GETPIVOTDATA(" TOTAL GENERAL",'[1]Turistas zona y tipología'!$A$4,"MES",8,"AÑO",2009)</f>
        <v>467782</v>
      </c>
    </row>
    <row r="24" spans="3:12" hidden="1" outlineLevel="1">
      <c r="C24" s="51" t="s">
        <v>42</v>
      </c>
      <c r="D24" s="129">
        <f>GETPIVOTDATA("dato",'[1]Turistas zona y tipología'!$I$4,"categoría","Hoteleros","mes",7,"año",2009)</f>
        <v>97923</v>
      </c>
      <c r="E24" s="129">
        <f>GETPIVOTDATA("dato",'[1]Turistas zona y tipología'!$I$4,"categoría","EXTRAHOTELEROS","mes",7,"año",2009)</f>
        <v>54409</v>
      </c>
      <c r="F24" s="129">
        <f>GETPIVOTDATA("dato",'[1]Turistas zona y tipología'!$I$4,"categoría","TOTAL","mes",7,"año",2009)</f>
        <v>152332</v>
      </c>
      <c r="G24" s="129">
        <f>GETPIVOTDATA("Hotel Sur",'[1]Turistas zona y tipología'!$A$4,"MES",7,"AÑO",2009)</f>
        <v>189062</v>
      </c>
      <c r="H24" s="129">
        <f>GETPIVOTDATA("Extrahotelera Sur",'[1]Turistas zona y tipología'!$A$4,"MES",7,"AÑO",2009)</f>
        <v>150856</v>
      </c>
      <c r="I24" s="129">
        <f>GETPIVOTDATA("Total Sur",'[1]Turistas zona y tipología'!$A$4,"MES",7,"AÑO",2009)</f>
        <v>339918</v>
      </c>
      <c r="J24" s="129">
        <f>GETPIVOTDATA("Total Hotel",'[1]Turistas zona y tipología'!$A$4,"MES",7,"AÑO",2009)</f>
        <v>255405</v>
      </c>
      <c r="K24" s="129">
        <f>GETPIVOTDATA("  Total Extrahoteleros",'[1]Turistas zona y tipología'!$A$4,"MES",7,"AÑO",2009)</f>
        <v>178790</v>
      </c>
      <c r="L24" s="129">
        <f>GETPIVOTDATA(" TOTAL GENERAL",'[1]Turistas zona y tipología'!$A$4,"MES",7,"AÑO",2009)</f>
        <v>434195</v>
      </c>
    </row>
    <row r="25" spans="3:12" hidden="1" outlineLevel="1">
      <c r="C25" s="51" t="s">
        <v>43</v>
      </c>
      <c r="D25" s="129">
        <f>GETPIVOTDATA("dato",'[1]Turistas zona y tipología'!$I$4,"categoría","Hoteleros","mes",6,"año",2009)</f>
        <v>79842</v>
      </c>
      <c r="E25" s="129">
        <f>GETPIVOTDATA("dato",'[1]Turistas zona y tipología'!$I$4,"categoría","EXTRAHOTELEROS","mes",6,"año",2009)</f>
        <v>41545</v>
      </c>
      <c r="F25" s="129">
        <f>GETPIVOTDATA("dato",'[1]Turistas zona y tipología'!$I$4,"categoría","TOTAL","mes",6,"año",2009)</f>
        <v>121387</v>
      </c>
      <c r="G25" s="129">
        <f>GETPIVOTDATA("Hotel Sur",'[1]Turistas zona y tipología'!$A$4,"MES",6,"AÑO",2009)</f>
        <v>155822</v>
      </c>
      <c r="H25" s="129">
        <f>GETPIVOTDATA("Extrahotelera Sur",'[1]Turistas zona y tipología'!$A$4,"MES",6,"AÑO",2009)</f>
        <v>111016</v>
      </c>
      <c r="I25" s="129">
        <f>GETPIVOTDATA("Total Sur",'[1]Turistas zona y tipología'!$A$4,"MES",6,"AÑO",2009)</f>
        <v>266838</v>
      </c>
      <c r="J25" s="129">
        <f>GETPIVOTDATA("Total Hotel",'[1]Turistas zona y tipología'!$A$4,"MES",6,"AÑO",2009)</f>
        <v>213715</v>
      </c>
      <c r="K25" s="129">
        <f>GETPIVOTDATA("  Total Extrahoteleros",'[1]Turistas zona y tipología'!$A$4,"MES",6,"AÑO",2009)</f>
        <v>136143</v>
      </c>
      <c r="L25" s="129">
        <f>GETPIVOTDATA(" TOTAL GENERAL",'[1]Turistas zona y tipología'!$A$4,"MES",6,"AÑO",2009)</f>
        <v>349858</v>
      </c>
    </row>
    <row r="26" spans="3:12" hidden="1" outlineLevel="1">
      <c r="C26" s="51" t="s">
        <v>44</v>
      </c>
      <c r="D26" s="129">
        <f>GETPIVOTDATA("dato",'[1]Turistas zona y tipología'!$I$4,"categoría","Hoteleros","mes",5,"año",2009)</f>
        <v>84335</v>
      </c>
      <c r="E26" s="129">
        <f>GETPIVOTDATA("dato",'[1]Turistas zona y tipología'!$I$4,"categoría","EXTRAHOTELEROS","mes",5,"año",2009)</f>
        <v>39550</v>
      </c>
      <c r="F26" s="129">
        <f>GETPIVOTDATA("dato",'[1]Turistas zona y tipología'!$I$4,"categoría","TOTAL","mes",5,"año",2009)</f>
        <v>123885</v>
      </c>
      <c r="G26" s="129">
        <f>GETPIVOTDATA("Hotel Sur",'[1]Turistas zona y tipología'!$A$4,"MES",5,"AÑO",2009)</f>
        <v>159815</v>
      </c>
      <c r="H26" s="129">
        <f>GETPIVOTDATA("Extrahotelera Sur",'[1]Turistas zona y tipología'!$A$4,"MES",5,"AÑO",2009)</f>
        <v>110874</v>
      </c>
      <c r="I26" s="129">
        <f>GETPIVOTDATA("Total Sur",'[1]Turistas zona y tipología'!$A$4,"MES",5,"AÑO",2009)</f>
        <v>270689</v>
      </c>
      <c r="J26" s="129">
        <f>GETPIVOTDATA("Total Hotel",'[1]Turistas zona y tipología'!$A$4,"MES",5,"AÑO",2009)</f>
        <v>217112</v>
      </c>
      <c r="K26" s="129">
        <f>GETPIVOTDATA("  Total Extrahoteleros",'[1]Turistas zona y tipología'!$A$4,"MES",5,"AÑO",2009)</f>
        <v>133181</v>
      </c>
      <c r="L26" s="129">
        <f>GETPIVOTDATA(" TOTAL GENERAL",'[1]Turistas zona y tipología'!$A$4,"MES",5,"AÑO",2009)</f>
        <v>350293</v>
      </c>
    </row>
    <row r="27" spans="3:12" hidden="1" outlineLevel="1">
      <c r="C27" s="51" t="s">
        <v>45</v>
      </c>
      <c r="D27" s="129">
        <f>GETPIVOTDATA("dato",'[1]Turistas zona y tipología'!$I$4,"categoría","Hoteleros","mes",4,"año",2009)</f>
        <v>91144</v>
      </c>
      <c r="E27" s="129">
        <f>GETPIVOTDATA("dato",'[1]Turistas zona y tipología'!$I$4,"categoría","EXTRAHOTELEROS","mes",4,"año",2009)</f>
        <v>51883</v>
      </c>
      <c r="F27" s="129">
        <f>GETPIVOTDATA("dato",'[1]Turistas zona y tipología'!$I$4,"categoría","TOTAL","mes",4,"año",2009)</f>
        <v>143027</v>
      </c>
      <c r="G27" s="129">
        <f>GETPIVOTDATA("Hotel Sur",'[1]Turistas zona y tipología'!$A$4,"MES",4,"AÑO",2009)</f>
        <v>184529</v>
      </c>
      <c r="H27" s="129">
        <f>GETPIVOTDATA("Extrahotelera Sur",'[1]Turistas zona y tipología'!$A$4,"MES",4,"AÑO",2009)</f>
        <v>139116</v>
      </c>
      <c r="I27" s="129">
        <f>GETPIVOTDATA("Total Sur",'[1]Turistas zona y tipología'!$A$4,"MES",4,"AÑO",2009)</f>
        <v>323645</v>
      </c>
      <c r="J27" s="129">
        <f>GETPIVOTDATA("Total Hotel",'[1]Turistas zona y tipología'!$A$4,"MES",4,"AÑO",2009)</f>
        <v>253066</v>
      </c>
      <c r="K27" s="129">
        <f>GETPIVOTDATA("  Total Extrahoteleros",'[1]Turistas zona y tipología'!$A$4,"MES",4,"AÑO",2009)</f>
        <v>165364</v>
      </c>
      <c r="L27" s="129">
        <f>GETPIVOTDATA(" TOTAL GENERAL",'[1]Turistas zona y tipología'!$A$4,"MES",4,"AÑO",2009)</f>
        <v>418430</v>
      </c>
    </row>
    <row r="28" spans="3:12" hidden="1" outlineLevel="1">
      <c r="C28" s="51" t="s">
        <v>46</v>
      </c>
      <c r="D28" s="129">
        <f>GETPIVOTDATA("dato",'[1]Turistas zona y tipología'!$I$4,"categoría","Hoteleros","mes",3,"año",2009)</f>
        <v>85131</v>
      </c>
      <c r="E28" s="129">
        <f>GETPIVOTDATA("dato",'[1]Turistas zona y tipología'!$I$4,"categoría","EXTRAHOTELEROS","mes",3,"año",2009)</f>
        <v>49940</v>
      </c>
      <c r="F28" s="129">
        <f>GETPIVOTDATA("dato",'[1]Turistas zona y tipología'!$I$4,"categoría","TOTAL","mes",3,"año",2009)</f>
        <v>135071</v>
      </c>
      <c r="G28" s="129">
        <f>GETPIVOTDATA("Hotel Sur",'[1]Turistas zona y tipología'!$A$4,"MES",3,"AÑO",2009)</f>
        <v>164848</v>
      </c>
      <c r="H28" s="129">
        <f>GETPIVOTDATA("Extrahotelera Sur",'[1]Turistas zona y tipología'!$A$4,"MES",3,"AÑO",2009)</f>
        <v>152300</v>
      </c>
      <c r="I28" s="129">
        <f>GETPIVOTDATA("Total Sur",'[1]Turistas zona y tipología'!$A$4,"MES",3,"AÑO",2009)</f>
        <v>317148</v>
      </c>
      <c r="J28" s="129">
        <f>GETPIVOTDATA("Total Hotel",'[1]Turistas zona y tipología'!$A$4,"MES",3,"AÑO",2009)</f>
        <v>230133</v>
      </c>
      <c r="K28" s="129">
        <f>GETPIVOTDATA("  Total Extrahoteleros",'[1]Turistas zona y tipología'!$A$4,"MES",3,"AÑO",2009)</f>
        <v>179375</v>
      </c>
      <c r="L28" s="129">
        <f>GETPIVOTDATA(" TOTAL GENERAL",'[1]Turistas zona y tipología'!$A$4,"MES",3,"AÑO",2009)</f>
        <v>409508</v>
      </c>
    </row>
    <row r="29" spans="3:12" hidden="1" outlineLevel="1">
      <c r="C29" s="51" t="s">
        <v>47</v>
      </c>
      <c r="D29" s="129">
        <f>GETPIVOTDATA("dato",'[1]Turistas zona y tipología'!$I$4,"categoría","Hoteleros","mes",2,"año",2009)</f>
        <v>83781</v>
      </c>
      <c r="E29" s="129">
        <f>GETPIVOTDATA("dato",'[1]Turistas zona y tipología'!$I$4,"categoría","EXTRAHOTELEROS","mes",2,"año",2009)</f>
        <v>50011</v>
      </c>
      <c r="F29" s="129">
        <f>GETPIVOTDATA("dato",'[1]Turistas zona y tipología'!$I$4,"categoría","TOTAL","mes",2,"año",2009)</f>
        <v>133792</v>
      </c>
      <c r="G29" s="129">
        <f>GETPIVOTDATA("Hotel Sur",'[1]Turistas zona y tipología'!$A$4,"MES",2,"AÑO",2009)</f>
        <v>161008</v>
      </c>
      <c r="H29" s="129">
        <f>GETPIVOTDATA("Extrahotelera Sur",'[1]Turistas zona y tipología'!$A$4,"MES",2,"AÑO",2009)</f>
        <v>139497</v>
      </c>
      <c r="I29" s="129">
        <f>GETPIVOTDATA("Total Sur",'[1]Turistas zona y tipología'!$A$4,"MES",2,"AÑO",2009)</f>
        <v>300505</v>
      </c>
      <c r="J29" s="129">
        <f>GETPIVOTDATA("Total Hotel",'[1]Turistas zona y tipología'!$A$4,"MES",2,"AÑO",2009)</f>
        <v>223867</v>
      </c>
      <c r="K29" s="129">
        <f>GETPIVOTDATA("  Total Extrahoteleros",'[1]Turistas zona y tipología'!$A$4,"MES",2,"AÑO",2009)</f>
        <v>161715</v>
      </c>
      <c r="L29" s="129">
        <f>GETPIVOTDATA(" TOTAL GENERAL",'[1]Turistas zona y tipología'!$A$4,"MES",2,"AÑO",2009)</f>
        <v>385582</v>
      </c>
    </row>
    <row r="30" spans="3:12" hidden="1" outlineLevel="1">
      <c r="C30" s="51" t="s">
        <v>48</v>
      </c>
      <c r="D30" s="129">
        <f>GETPIVOTDATA("dato",'[1]Turistas zona y tipología'!$I$4,"categoría","Hoteleros","mes",1,"año",2009)</f>
        <v>83242</v>
      </c>
      <c r="E30" s="129">
        <f>GETPIVOTDATA("dato",'[1]Turistas zona y tipología'!$I$4,"categoría","EXTRAHOTELEROS","mes",1,"año",2009)</f>
        <v>53102</v>
      </c>
      <c r="F30" s="129">
        <f>GETPIVOTDATA("dato",'[1]Turistas zona y tipología'!$I$4,"categoría","TOTAL","mes",1,"año",2009)</f>
        <v>136344</v>
      </c>
      <c r="G30" s="129">
        <f>GETPIVOTDATA("Hotel Sur",'[1]Turistas zona y tipología'!$A$4,"MES",1,"AÑO",2009)</f>
        <v>154599</v>
      </c>
      <c r="H30" s="129">
        <f>GETPIVOTDATA("Extrahotelera Sur",'[1]Turistas zona y tipología'!$A$4,"MES",1,"AÑO",2009)</f>
        <v>144863</v>
      </c>
      <c r="I30" s="129">
        <f>GETPIVOTDATA("Total Sur",'[1]Turistas zona y tipología'!$A$4,"MES",1,"AÑO",2009)</f>
        <v>299462</v>
      </c>
      <c r="J30" s="129">
        <f>GETPIVOTDATA("Total Hotel",'[1]Turistas zona y tipología'!$A$4,"MES",1,"AÑO",2009)</f>
        <v>212522</v>
      </c>
      <c r="K30" s="129">
        <f>GETPIVOTDATA("  Total Extrahoteleros",'[1]Turistas zona y tipología'!$A$4,"MES",1,"AÑO",2009)</f>
        <v>168208</v>
      </c>
      <c r="L30" s="129">
        <f>GETPIVOTDATA(" TOTAL GENERAL",'[1]Turistas zona y tipología'!$A$4,"MES",1,"AÑO",2009)</f>
        <v>380730</v>
      </c>
    </row>
    <row r="31" spans="3:12" collapsed="1">
      <c r="C31" s="132">
        <v>2009</v>
      </c>
      <c r="D31" s="133">
        <f>GETPIVOTDATA("dato",'[1]Turistas zona y tipología'!$I$4,"categoría","Hoteleros","año",2009)</f>
        <v>1052440</v>
      </c>
      <c r="E31" s="133">
        <f>GETPIVOTDATA("dato",'[1]Turistas zona y tipología'!$I$4,"categoría","EXTRAHOTELEROS","año",2009)</f>
        <v>596591</v>
      </c>
      <c r="F31" s="133">
        <f>GETPIVOTDATA("dato",'[1]Turistas zona y tipología'!$I$4,"categoría","TOTAL","año",2009)</f>
        <v>1649031</v>
      </c>
      <c r="G31" s="133">
        <f>GETPIVOTDATA("Hotel Sur",'[1]Turistas zona y tipología'!$A$4,"AÑO",2009)</f>
        <v>2032493</v>
      </c>
      <c r="H31" s="133">
        <f>GETPIVOTDATA("Extrahotelera Sur",'[1]Turistas zona y tipología'!$A$4,"AÑO",2009)</f>
        <v>1631731</v>
      </c>
      <c r="I31" s="133">
        <f>GETPIVOTDATA("Total Sur",'[1]Turistas zona y tipología'!$A$4,"AÑO",2009)</f>
        <v>3664224</v>
      </c>
      <c r="J31" s="133">
        <f>GETPIVOTDATA("Total Hotel",'[1]Turistas zona y tipología'!$A$4,"AÑO",2009)</f>
        <v>2781576</v>
      </c>
      <c r="K31" s="133">
        <f>GETPIVOTDATA("  Total Extrahoteleros",'[1]Turistas zona y tipología'!$A$4,"AÑO",2009)</f>
        <v>1926206</v>
      </c>
      <c r="L31" s="133">
        <f>GETPIVOTDATA(" TOTAL GENERAL",'[1]Turistas zona y tipología'!$A$4,"AÑO",2009)</f>
        <v>4707782</v>
      </c>
    </row>
    <row r="32" spans="3:12" hidden="1" outlineLevel="1">
      <c r="C32" s="51" t="s">
        <v>37</v>
      </c>
      <c r="D32" s="129">
        <f>GETPIVOTDATA("dato",'[1]Turistas zona y tipología'!$I$4,"categoría","Hoteleros","mes",12,"año",2008)</f>
        <v>87217</v>
      </c>
      <c r="E32" s="129">
        <f>GETPIVOTDATA("dato",'[1]Turistas zona y tipología'!$I$4,"categoría","EXTRAHOTELEROS","mes",12,"año",2008)</f>
        <v>54615</v>
      </c>
      <c r="F32" s="129">
        <f>GETPIVOTDATA("dato",'[1]Turistas zona y tipología'!$I$4,"categoría","TOTAL","mes",12,"año",2008)</f>
        <v>141832</v>
      </c>
      <c r="G32" s="129">
        <f>GETPIVOTDATA("Hotel Sur",'[1]Turistas zona y tipología'!$A$4,"MES",12,"AÑO",2008)</f>
        <v>164055</v>
      </c>
      <c r="H32" s="129">
        <f>GETPIVOTDATA("Extrahotelera Sur",'[1]Turistas zona y tipología'!$A$4,"MES",12,"AÑO",2008)</f>
        <v>147580</v>
      </c>
      <c r="I32" s="129">
        <f>GETPIVOTDATA("Total Sur",'[1]Turistas zona y tipología'!$A$4,"MES",12,"AÑO",2008)</f>
        <v>311635</v>
      </c>
      <c r="J32" s="129">
        <f>GETPIVOTDATA("Total Hotel",'[1]Turistas zona y tipología'!$A$4,"MES",12,"AÑO",2008)</f>
        <v>234207</v>
      </c>
      <c r="K32" s="129">
        <f>GETPIVOTDATA("  Total Extrahoteleros",'[1]Turistas zona y tipología'!$A$4,"MES",12,"AÑO",2008)</f>
        <v>175996</v>
      </c>
      <c r="L32" s="129">
        <f>GETPIVOTDATA(" TOTAL GENERAL",'[1]Turistas zona y tipología'!$A$4,"MES",12,"AÑO",2008)</f>
        <v>410203</v>
      </c>
    </row>
    <row r="33" spans="3:12" hidden="1" outlineLevel="1">
      <c r="C33" s="51" t="s">
        <v>38</v>
      </c>
      <c r="D33" s="129">
        <f>GETPIVOTDATA("dato",'[1]Turistas zona y tipología'!$I$4,"categoría","Hoteleros","mes",11,"año",2008)</f>
        <v>93479</v>
      </c>
      <c r="E33" s="129">
        <f>GETPIVOTDATA("dato",'[1]Turistas zona y tipología'!$I$4,"categoría","EXTRAHOTELEROS","mes",11,"año",2008)</f>
        <v>55613</v>
      </c>
      <c r="F33" s="129">
        <f>GETPIVOTDATA("dato",'[1]Turistas zona y tipología'!$I$4,"categoría","TOTAL","mes",11,"año",2008)</f>
        <v>149092</v>
      </c>
      <c r="G33" s="129">
        <f>GETPIVOTDATA("Hotel Sur",'[1]Turistas zona y tipología'!$A$4,"MES",11,"AÑO",2008)</f>
        <v>173926</v>
      </c>
      <c r="H33" s="129">
        <f>GETPIVOTDATA("Extrahotelera Sur",'[1]Turistas zona y tipología'!$A$4,"MES",11,"AÑO",2008)</f>
        <v>157774</v>
      </c>
      <c r="I33" s="129">
        <f>GETPIVOTDATA("Total Sur",'[1]Turistas zona y tipología'!$A$4,"MES",11,"AÑO",2008)</f>
        <v>331700</v>
      </c>
      <c r="J33" s="129">
        <f>GETPIVOTDATA("Total Hotel",'[1]Turistas zona y tipología'!$A$4,"MES",11,"AÑO",2008)</f>
        <v>246435</v>
      </c>
      <c r="K33" s="129">
        <f>GETPIVOTDATA("  Total Extrahoteleros",'[1]Turistas zona y tipología'!$A$4,"MES",11,"AÑO",2008)</f>
        <v>185305</v>
      </c>
      <c r="L33" s="129">
        <f>GETPIVOTDATA(" TOTAL GENERAL",'[1]Turistas zona y tipología'!$A$4,"MES",11,"AÑO",2008)</f>
        <v>431740</v>
      </c>
    </row>
    <row r="34" spans="3:12" hidden="1" outlineLevel="1">
      <c r="C34" s="51" t="s">
        <v>39</v>
      </c>
      <c r="D34" s="129">
        <f>GETPIVOTDATA("dato",'[1]Turistas zona y tipología'!$I$4,"categoría","Hoteleros","mes",10,"año",2008)</f>
        <v>101498</v>
      </c>
      <c r="E34" s="129">
        <f>GETPIVOTDATA("dato",'[1]Turistas zona y tipología'!$I$4,"categoría","EXTRAHOTELEROS","mes",10,"año",2008)</f>
        <v>58945</v>
      </c>
      <c r="F34" s="129">
        <f>GETPIVOTDATA("dato",'[1]Turistas zona y tipología'!$I$4,"categoría","TOTAL","mes",10,"año",2008)</f>
        <v>160443</v>
      </c>
      <c r="G34" s="129">
        <f>GETPIVOTDATA("Hotel Sur",'[1]Turistas zona y tipología'!$A$4,"MES",10,"AÑO",2008)</f>
        <v>187434</v>
      </c>
      <c r="H34" s="129">
        <f>GETPIVOTDATA("Extrahotelera Sur",'[1]Turistas zona y tipología'!$A$4,"MES",10,"AÑO",2008)</f>
        <v>156459</v>
      </c>
      <c r="I34" s="129">
        <f>GETPIVOTDATA("Total Sur",'[1]Turistas zona y tipología'!$A$4,"MES",10,"AÑO",2008)</f>
        <v>343893</v>
      </c>
      <c r="J34" s="129">
        <f>GETPIVOTDATA("Total Hotel",'[1]Turistas zona y tipología'!$A$4,"MES",10,"AÑO",2008)</f>
        <v>257888</v>
      </c>
      <c r="K34" s="129">
        <f>GETPIVOTDATA("  Total Extrahoteleros",'[1]Turistas zona y tipología'!$A$4,"MES",10,"AÑO",2008)</f>
        <v>183969</v>
      </c>
      <c r="L34" s="129">
        <f>GETPIVOTDATA(" TOTAL GENERAL",'[1]Turistas zona y tipología'!$A$4,"MES",10,"AÑO",2008)</f>
        <v>441857</v>
      </c>
    </row>
    <row r="35" spans="3:12" hidden="1" outlineLevel="1">
      <c r="C35" s="51" t="s">
        <v>40</v>
      </c>
      <c r="D35" s="129">
        <f>GETPIVOTDATA("dato",'[1]Turistas zona y tipología'!$I$4,"categoría","Hoteleros","mes",9,"año",2008)</f>
        <v>88192</v>
      </c>
      <c r="E35" s="129">
        <f>GETPIVOTDATA("dato",'[1]Turistas zona y tipología'!$I$4,"categoría","EXTRAHOTELEROS","mes",9,"año",2008)</f>
        <v>49248</v>
      </c>
      <c r="F35" s="129">
        <f>GETPIVOTDATA("dato",'[1]Turistas zona y tipología'!$I$4,"categoría","TOTAL","mes",9,"año",2008)</f>
        <v>137440</v>
      </c>
      <c r="G35" s="129">
        <f>GETPIVOTDATA("Hotel Sur",'[1]Turistas zona y tipología'!$A$4,"MES",9,"AÑO",2008)</f>
        <v>169051</v>
      </c>
      <c r="H35" s="129">
        <f>GETPIVOTDATA("Extrahotelera Sur",'[1]Turistas zona y tipología'!$A$4,"MES",9,"AÑO",2008)</f>
        <v>124097</v>
      </c>
      <c r="I35" s="129">
        <f>GETPIVOTDATA("Total Sur",'[1]Turistas zona y tipología'!$A$4,"MES",9,"AÑO",2008)</f>
        <v>293148</v>
      </c>
      <c r="J35" s="129">
        <f>GETPIVOTDATA("Total Hotel",'[1]Turistas zona y tipología'!$A$4,"MES",9,"AÑO",2008)</f>
        <v>240281</v>
      </c>
      <c r="K35" s="129">
        <f>GETPIVOTDATA("  Total Extrahoteleros",'[1]Turistas zona y tipología'!$A$4,"MES",9,"AÑO",2008)</f>
        <v>151078</v>
      </c>
      <c r="L35" s="129">
        <f>GETPIVOTDATA(" TOTAL GENERAL",'[1]Turistas zona y tipología'!$A$4,"MES",9,"AÑO",2008)</f>
        <v>391359</v>
      </c>
    </row>
    <row r="36" spans="3:12" ht="15" hidden="1" customHeight="1" outlineLevel="1">
      <c r="C36" s="51" t="s">
        <v>41</v>
      </c>
      <c r="D36" s="129">
        <f>GETPIVOTDATA("dato",'[1]Turistas zona y tipología'!$I$4,"categoría","Hoteleros","mes",8,"año",2008)</f>
        <v>115139</v>
      </c>
      <c r="E36" s="129">
        <f>GETPIVOTDATA("dato",'[1]Turistas zona y tipología'!$I$4,"categoría","EXTRAHOTELEROS","mes",8,"año",2008)</f>
        <v>72859</v>
      </c>
      <c r="F36" s="129">
        <f>GETPIVOTDATA("dato",'[1]Turistas zona y tipología'!$I$4,"categoría","TOTAL","mes",8,"año",2008)</f>
        <v>187998</v>
      </c>
      <c r="G36" s="129">
        <f>GETPIVOTDATA("Hotel Sur",'[1]Turistas zona y tipología'!$A$4,"MES",8,"AÑO",2008)</f>
        <v>212937</v>
      </c>
      <c r="H36" s="129">
        <f>GETPIVOTDATA("Extrahotelera Sur",'[1]Turistas zona y tipología'!$A$4,"MES",8,"AÑO",2008)</f>
        <v>184285</v>
      </c>
      <c r="I36" s="129">
        <f>GETPIVOTDATA("Total Sur",'[1]Turistas zona y tipología'!$A$4,"MES",8,"AÑO",2008)</f>
        <v>397222</v>
      </c>
      <c r="J36" s="129">
        <f>GETPIVOTDATA("Total Hotel",'[1]Turistas zona y tipología'!$A$4,"MES",8,"AÑO",2008)</f>
        <v>303519</v>
      </c>
      <c r="K36" s="129">
        <f>GETPIVOTDATA("  Total Extrahoteleros",'[1]Turistas zona y tipología'!$A$4,"MES",8,"AÑO",2008)</f>
        <v>228246</v>
      </c>
      <c r="L36" s="129">
        <f>GETPIVOTDATA(" TOTAL GENERAL",'[1]Turistas zona y tipología'!$A$4,"MES",8,"AÑO",2008)</f>
        <v>531765</v>
      </c>
    </row>
    <row r="37" spans="3:12" ht="15" hidden="1" customHeight="1" outlineLevel="1">
      <c r="C37" s="51" t="s">
        <v>42</v>
      </c>
      <c r="D37" s="129">
        <f>GETPIVOTDATA("dato",'[1]Turistas zona y tipología'!$I$4,"categoría","Hoteleros","mes",7,"año",2008)</f>
        <v>102716</v>
      </c>
      <c r="E37" s="129">
        <f>GETPIVOTDATA("dato",'[1]Turistas zona y tipología'!$I$4,"categoría","EXTRAHOTELEROS","mes",7,"año",2008)</f>
        <v>58557</v>
      </c>
      <c r="F37" s="129">
        <f>GETPIVOTDATA("dato",'[1]Turistas zona y tipología'!$I$4,"categoría","TOTAL","mes",7,"año",2008)</f>
        <v>161273</v>
      </c>
      <c r="G37" s="129">
        <f>GETPIVOTDATA("Hotel Sur",'[1]Turistas zona y tipología'!$A$4,"MES",7,"AÑO",2008)</f>
        <v>196213</v>
      </c>
      <c r="H37" s="129">
        <f>GETPIVOTDATA("Extrahotelera Sur",'[1]Turistas zona y tipología'!$A$4,"MES",7,"AÑO",2008)</f>
        <v>154430</v>
      </c>
      <c r="I37" s="129">
        <f>GETPIVOTDATA("Total Sur",'[1]Turistas zona y tipología'!$A$4,"MES",7,"AÑO",2008)</f>
        <v>350643</v>
      </c>
      <c r="J37" s="129">
        <f>GETPIVOTDATA("Total Hotel",'[1]Turistas zona y tipología'!$A$4,"MES",7,"AÑO",2008)</f>
        <v>276976</v>
      </c>
      <c r="K37" s="129">
        <f>GETPIVOTDATA("  Total Extrahoteleros",'[1]Turistas zona y tipología'!$A$4,"MES",7,"AÑO",2008)</f>
        <v>190549</v>
      </c>
      <c r="L37" s="129">
        <f>GETPIVOTDATA(" TOTAL GENERAL",'[1]Turistas zona y tipología'!$A$4,"MES",7,"AÑO",2008)</f>
        <v>467525</v>
      </c>
    </row>
    <row r="38" spans="3:12" ht="15" hidden="1" customHeight="1" outlineLevel="1">
      <c r="C38" s="51" t="s">
        <v>43</v>
      </c>
      <c r="D38" s="129">
        <f>GETPIVOTDATA("dato",'[1]Turistas zona y tipología'!$I$4,"categoría","Hoteleros","mes",6,"año",2008)</f>
        <v>98741</v>
      </c>
      <c r="E38" s="129">
        <f>GETPIVOTDATA("dato",'[1]Turistas zona y tipología'!$I$4,"categoría","EXTRAHOTELEROS","mes",6,"año",2008)</f>
        <v>47622</v>
      </c>
      <c r="F38" s="129">
        <f>GETPIVOTDATA("dato",'[1]Turistas zona y tipología'!$I$4,"categoría","TOTAL","mes",6,"año",2008)</f>
        <v>146363</v>
      </c>
      <c r="G38" s="129">
        <f>GETPIVOTDATA("Hotel Sur",'[1]Turistas zona y tipología'!$A$4,"MES",6,"AÑO",2008)</f>
        <v>174917</v>
      </c>
      <c r="H38" s="129">
        <f>GETPIVOTDATA("Extrahotelera Sur",'[1]Turistas zona y tipología'!$A$4,"MES",6,"AÑO",2008)</f>
        <v>128258</v>
      </c>
      <c r="I38" s="129">
        <f>GETPIVOTDATA("Total Sur",'[1]Turistas zona y tipología'!$A$4,"MES",6,"AÑO",2008)</f>
        <v>303175</v>
      </c>
      <c r="J38" s="129">
        <f>GETPIVOTDATA("Total Hotel",'[1]Turistas zona y tipología'!$A$4,"MES",6,"AÑO",2008)</f>
        <v>245260</v>
      </c>
      <c r="K38" s="129">
        <f>GETPIVOTDATA("  Total Extrahoteleros",'[1]Turistas zona y tipología'!$A$4,"MES",6,"AÑO",2008)</f>
        <v>157171</v>
      </c>
      <c r="L38" s="129">
        <f>GETPIVOTDATA(" TOTAL GENERAL",'[1]Turistas zona y tipología'!$A$4,"MES",6,"AÑO",2008)</f>
        <v>402431</v>
      </c>
    </row>
    <row r="39" spans="3:12" hidden="1" outlineLevel="1">
      <c r="C39" s="51" t="s">
        <v>44</v>
      </c>
      <c r="D39" s="129">
        <f>GETPIVOTDATA("dato",'[1]Turistas zona y tipología'!$I$4,"categoría","Hoteleros","mes",5,"año",2008)</f>
        <v>103754</v>
      </c>
      <c r="E39" s="129">
        <f>GETPIVOTDATA("dato",'[1]Turistas zona y tipología'!$I$4,"categoría","EXTRAHOTELEROS","mes",5,"año",2008)</f>
        <v>49751</v>
      </c>
      <c r="F39" s="129">
        <f>GETPIVOTDATA("dato",'[1]Turistas zona y tipología'!$I$4,"categoría","TOTAL","mes",5,"año",2008)</f>
        <v>153505</v>
      </c>
      <c r="G39" s="129">
        <f>GETPIVOTDATA("Hotel Sur",'[1]Turistas zona y tipología'!$A$4,"MES",5,"AÑO",2008)</f>
        <v>184054</v>
      </c>
      <c r="H39" s="129">
        <f>GETPIVOTDATA("Extrahotelera Sur",'[1]Turistas zona y tipología'!$A$4,"MES",5,"AÑO",2008)</f>
        <v>124018</v>
      </c>
      <c r="I39" s="129">
        <f>GETPIVOTDATA("Total Sur",'[1]Turistas zona y tipología'!$A$4,"MES",5,"AÑO",2008)</f>
        <v>308072</v>
      </c>
      <c r="J39" s="129">
        <f>GETPIVOTDATA("Total Hotel",'[1]Turistas zona y tipología'!$A$4,"MES",5,"AÑO",2008)</f>
        <v>258413</v>
      </c>
      <c r="K39" s="129">
        <f>GETPIVOTDATA("  Total Extrahoteleros",'[1]Turistas zona y tipología'!$A$4,"MES",5,"AÑO",2008)</f>
        <v>154772</v>
      </c>
      <c r="L39" s="129">
        <f>GETPIVOTDATA(" TOTAL GENERAL",'[1]Turistas zona y tipología'!$A$4,"MES",5,"AÑO",2008)</f>
        <v>413185</v>
      </c>
    </row>
    <row r="40" spans="3:12" hidden="1" outlineLevel="1">
      <c r="C40" s="51" t="s">
        <v>45</v>
      </c>
      <c r="D40" s="129">
        <f>GETPIVOTDATA("dato",'[1]Turistas zona y tipología'!$I$4,"categoría","Hoteleros","mes",4,"año",2008)</f>
        <v>102558</v>
      </c>
      <c r="E40" s="129">
        <f>GETPIVOTDATA("dato",'[1]Turistas zona y tipología'!$I$4,"categoría","EXTRAHOTELEROS","mes",4,"año",2008)</f>
        <v>51464</v>
      </c>
      <c r="F40" s="129">
        <f>GETPIVOTDATA("dato",'[1]Turistas zona y tipología'!$I$4,"categoría","TOTAL","mes",4,"año",2008)</f>
        <v>154022</v>
      </c>
      <c r="G40" s="129">
        <f>GETPIVOTDATA("Hotel Sur",'[1]Turistas zona y tipología'!$A$4,"MES",4,"AÑO",2008)</f>
        <v>183583</v>
      </c>
      <c r="H40" s="129">
        <f>GETPIVOTDATA("Extrahotelera Sur",'[1]Turistas zona y tipología'!$A$4,"MES",4,"AÑO",2008)</f>
        <v>133475</v>
      </c>
      <c r="I40" s="129">
        <f>GETPIVOTDATA("Total Sur",'[1]Turistas zona y tipología'!$A$4,"MES",4,"AÑO",2008)</f>
        <v>317058</v>
      </c>
      <c r="J40" s="129">
        <f>GETPIVOTDATA("Total Hotel",'[1]Turistas zona y tipología'!$A$4,"MES",4,"AÑO",2008)</f>
        <v>261323</v>
      </c>
      <c r="K40" s="129">
        <f>GETPIVOTDATA("  Total Extrahoteleros",'[1]Turistas zona y tipología'!$A$4,"MES",4,"AÑO",2008)</f>
        <v>163191</v>
      </c>
      <c r="L40" s="129">
        <f>GETPIVOTDATA(" TOTAL GENERAL",'[1]Turistas zona y tipología'!$A$4,"MES",4,"AÑO",2008)</f>
        <v>424514</v>
      </c>
    </row>
    <row r="41" spans="3:12" hidden="1" outlineLevel="1">
      <c r="C41" s="51" t="s">
        <v>46</v>
      </c>
      <c r="D41" s="129">
        <f>GETPIVOTDATA("dato",'[1]Turistas zona y tipología'!$I$4,"categoría","Hoteleros","mes",3,"año",2008)</f>
        <v>117674</v>
      </c>
      <c r="E41" s="129">
        <f>GETPIVOTDATA("dato",'[1]Turistas zona y tipología'!$I$4,"categoría","EXTRAHOTELEROS","mes",3,"año",2008)</f>
        <v>65773</v>
      </c>
      <c r="F41" s="129">
        <f>GETPIVOTDATA("dato",'[1]Turistas zona y tipología'!$I$4,"categoría","TOTAL","mes",3,"año",2008)</f>
        <v>183447</v>
      </c>
      <c r="G41" s="129">
        <f>GETPIVOTDATA("Hotel Sur",'[1]Turistas zona y tipología'!$A$4,"MES",3,"AÑO",2008)</f>
        <v>208953</v>
      </c>
      <c r="H41" s="129">
        <f>GETPIVOTDATA("Extrahotelera Sur",'[1]Turistas zona y tipología'!$A$4,"MES",3,"AÑO",2008)</f>
        <v>178294</v>
      </c>
      <c r="I41" s="129">
        <f>GETPIVOTDATA("Total Sur",'[1]Turistas zona y tipología'!$A$4,"MES",3,"AÑO",2008)</f>
        <v>387247</v>
      </c>
      <c r="J41" s="129">
        <f>GETPIVOTDATA("Total Hotel",'[1]Turistas zona y tipología'!$A$4,"MES",3,"AÑO",2008)</f>
        <v>294814</v>
      </c>
      <c r="K41" s="129">
        <f>GETPIVOTDATA("  Total Extrahoteleros",'[1]Turistas zona y tipología'!$A$4,"MES",3,"AÑO",2008)</f>
        <v>213269</v>
      </c>
      <c r="L41" s="129">
        <f>GETPIVOTDATA(" TOTAL GENERAL",'[1]Turistas zona y tipología'!$A$4,"MES",3,"AÑO",2008)</f>
        <v>508083</v>
      </c>
    </row>
    <row r="42" spans="3:12" hidden="1" outlineLevel="1">
      <c r="C42" s="51" t="s">
        <v>47</v>
      </c>
      <c r="D42" s="129">
        <f>GETPIVOTDATA("dato",'[1]Turistas zona y tipología'!$I$4,"categoría","Hoteleros","mes",2,"año",2008)</f>
        <v>104521</v>
      </c>
      <c r="E42" s="129">
        <f>GETPIVOTDATA("dato",'[1]Turistas zona y tipología'!$I$4,"categoría","EXTRAHOTELEROS","mes",2,"año",2008)</f>
        <v>63733</v>
      </c>
      <c r="F42" s="129">
        <f>GETPIVOTDATA("dato",'[1]Turistas zona y tipología'!$I$4,"categoría","TOTAL","mes",2,"año",2008)</f>
        <v>168254</v>
      </c>
      <c r="G42" s="129">
        <f>GETPIVOTDATA("Hotel Sur",'[1]Turistas zona y tipología'!$A$4,"MES",2,"AÑO",2008)</f>
        <v>184741</v>
      </c>
      <c r="H42" s="129">
        <f>GETPIVOTDATA("Extrahotelera Sur",'[1]Turistas zona y tipología'!$A$4,"MES",2,"AÑO",2008)</f>
        <v>173615</v>
      </c>
      <c r="I42" s="129">
        <f>GETPIVOTDATA("Total Sur",'[1]Turistas zona y tipología'!$A$4,"MES",2,"AÑO",2008)</f>
        <v>358356</v>
      </c>
      <c r="J42" s="129">
        <f>GETPIVOTDATA("Total Hotel",'[1]Turistas zona y tipología'!$A$4,"MES",2,"AÑO",2008)</f>
        <v>260847</v>
      </c>
      <c r="K42" s="129">
        <f>GETPIVOTDATA("  Total Extrahoteleros",'[1]Turistas zona y tipología'!$A$4,"MES",2,"AÑO",2008)</f>
        <v>199071</v>
      </c>
      <c r="L42" s="129">
        <f>GETPIVOTDATA(" TOTAL GENERAL",'[1]Turistas zona y tipología'!$A$4,"MES",2,"AÑO",2008)</f>
        <v>459918</v>
      </c>
    </row>
    <row r="43" spans="3:12" hidden="1" outlineLevel="1">
      <c r="C43" s="51" t="s">
        <v>48</v>
      </c>
      <c r="D43" s="129">
        <f>GETPIVOTDATA("dato",'[1]Turistas zona y tipología'!$I$4,"categoría","Hoteleros","mes",1,"año",2008)</f>
        <v>92646</v>
      </c>
      <c r="E43" s="129">
        <f>GETPIVOTDATA("dato",'[1]Turistas zona y tipología'!$I$4,"categoría","EXTRAHOTELEROS","mes",1,"año",2008)</f>
        <v>54485</v>
      </c>
      <c r="F43" s="129">
        <f>GETPIVOTDATA("dato",'[1]Turistas zona y tipología'!$I$4,"categoría","TOTAL","mes",1,"año",2008)</f>
        <v>147131</v>
      </c>
      <c r="G43" s="129">
        <f>GETPIVOTDATA("Hotel Sur",'[1]Turistas zona y tipología'!$A$4,"MES",1,"AÑO",2008)</f>
        <v>169956</v>
      </c>
      <c r="H43" s="129">
        <f>GETPIVOTDATA("Extrahotelera Sur",'[1]Turistas zona y tipología'!$A$4,"MES",1,"AÑO",2008)</f>
        <v>144911</v>
      </c>
      <c r="I43" s="129">
        <f>GETPIVOTDATA("Total Sur",'[1]Turistas zona y tipología'!$A$4,"MES",1,"AÑO",2008)</f>
        <v>314867</v>
      </c>
      <c r="J43" s="129">
        <f>GETPIVOTDATA("Total Hotel",'[1]Turistas zona y tipología'!$A$4,"MES",1,"AÑO",2008)</f>
        <v>238040</v>
      </c>
      <c r="K43" s="129">
        <f>GETPIVOTDATA("  Total Extrahoteleros",'[1]Turistas zona y tipología'!$A$4,"MES",1,"AÑO",2008)</f>
        <v>171707</v>
      </c>
      <c r="L43" s="129">
        <f>GETPIVOTDATA(" TOTAL GENERAL",'[1]Turistas zona y tipología'!$A$4,"MES",1,"AÑO",2008)</f>
        <v>409747</v>
      </c>
    </row>
    <row r="44" spans="3:12" collapsed="1">
      <c r="C44" s="134">
        <v>2008</v>
      </c>
      <c r="D44" s="135">
        <f>GETPIVOTDATA("dato",'[1]Turistas zona y tipología'!$I$4,"categoría","Hoteleros","año",2008)</f>
        <v>1208135</v>
      </c>
      <c r="E44" s="135">
        <f>GETPIVOTDATA("dato",'[1]Turistas zona y tipología'!$I$4,"categoría","EXTRAHOTELEROS","año",2008)</f>
        <v>682665</v>
      </c>
      <c r="F44" s="135">
        <f>GETPIVOTDATA("dato",'[1]Turistas zona y tipología'!$I$4,"categoría","TOTAL","año",2008)</f>
        <v>1890800</v>
      </c>
      <c r="G44" s="135">
        <f>GETPIVOTDATA("Hotel Sur",'[1]Turistas zona y tipología'!$A$4,"AÑO",2008)</f>
        <v>2209820</v>
      </c>
      <c r="H44" s="135">
        <f>GETPIVOTDATA("Extrahotelera Sur",'[1]Turistas zona y tipología'!$A$4,"AÑO",2008)</f>
        <v>1807196</v>
      </c>
      <c r="I44" s="135">
        <f>GETPIVOTDATA("Total Sur",'[1]Turistas zona y tipología'!$A$4,"AÑO",2008)</f>
        <v>4017016</v>
      </c>
      <c r="J44" s="135">
        <f>GETPIVOTDATA("Total Hotel",'[1]Turistas zona y tipología'!$A$4,"AÑO",2008)</f>
        <v>3118003</v>
      </c>
      <c r="K44" s="135">
        <f>GETPIVOTDATA("  Total Extrahoteleros",'[1]Turistas zona y tipología'!$A$4,"AÑO",2008)</f>
        <v>2174324</v>
      </c>
      <c r="L44" s="135">
        <f>GETPIVOTDATA(" TOTAL GENERAL",'[1]Turistas zona y tipología'!$A$4,"AÑO",2008)</f>
        <v>5292327</v>
      </c>
    </row>
    <row r="45" spans="3:12" hidden="1" outlineLevel="1">
      <c r="C45" s="51" t="s">
        <v>37</v>
      </c>
      <c r="D45" s="129">
        <f>GETPIVOTDATA("dato",'[1]Turistas zona y tipología'!$I$4,"categoría","Hoteleros","mes",12,"año",2007)</f>
        <v>94524</v>
      </c>
      <c r="E45" s="129">
        <f>GETPIVOTDATA("dato",'[1]Turistas zona y tipología'!$I$4,"categoría","EXTRAHOTELEROS","mes",12,"año",2007)</f>
        <v>55070</v>
      </c>
      <c r="F45" s="129">
        <f>GETPIVOTDATA("dato",'[1]Turistas zona y tipología'!$I$4,"categoría","TOTAL","mes",12,"año",2007)</f>
        <v>149594</v>
      </c>
      <c r="G45" s="129">
        <f>GETPIVOTDATA("Hotel Sur",'[1]Turistas zona y tipología'!$A$4,"MES",12,"AÑO",2007)</f>
        <v>172247</v>
      </c>
      <c r="H45" s="129">
        <f>GETPIVOTDATA("Extrahotelera Sur",'[1]Turistas zona y tipología'!$A$4,"MES",12,"AÑO",2007)</f>
        <v>156133</v>
      </c>
      <c r="I45" s="129">
        <f>GETPIVOTDATA("Total Sur",'[1]Turistas zona y tipología'!$A$4,"MES",12,"AÑO",2007)</f>
        <v>328380</v>
      </c>
      <c r="J45" s="129">
        <f>GETPIVOTDATA("Total Hotel",'[1]Turistas zona y tipología'!$A$4,"MES",12,"AÑO",2007)</f>
        <v>249378</v>
      </c>
      <c r="K45" s="129">
        <f>GETPIVOTDATA("  Total Extrahoteleros",'[1]Turistas zona y tipología'!$A$4,"MES",12,"AÑO",2007)</f>
        <v>188958</v>
      </c>
      <c r="L45" s="129">
        <f>GETPIVOTDATA(" TOTAL GENERAL",'[1]Turistas zona y tipología'!$A$4,"MES",12,"AÑO",2007)</f>
        <v>438336</v>
      </c>
    </row>
    <row r="46" spans="3:12" hidden="1" outlineLevel="1">
      <c r="C46" s="51" t="s">
        <v>38</v>
      </c>
      <c r="D46" s="129">
        <f>GETPIVOTDATA("dato",'[1]Turistas zona y tipología'!$I$4,"categoría","Hoteleros","mes",11,"año",2007)</f>
        <v>102963</v>
      </c>
      <c r="E46" s="129">
        <f>GETPIVOTDATA("dato",'[1]Turistas zona y tipología'!$I$4,"categoría","EXTRAHOTELEROS","mes",11,"año",2007)</f>
        <v>62813</v>
      </c>
      <c r="F46" s="129">
        <f>GETPIVOTDATA("dato",'[1]Turistas zona y tipología'!$I$4,"categoría","TOTAL","mes",11,"año",2007)</f>
        <v>165776</v>
      </c>
      <c r="G46" s="129">
        <f>GETPIVOTDATA("Hotel Sur",'[1]Turistas zona y tipología'!$A$4,"MES",11,"AÑO",2007)</f>
        <v>185654</v>
      </c>
      <c r="H46" s="129">
        <f>GETPIVOTDATA("Extrahotelera Sur",'[1]Turistas zona y tipología'!$A$4,"MES",11,"AÑO",2007)</f>
        <v>164710</v>
      </c>
      <c r="I46" s="129">
        <f>GETPIVOTDATA("Total Sur",'[1]Turistas zona y tipología'!$A$4,"MES",11,"AÑO",2007)</f>
        <v>350364</v>
      </c>
      <c r="J46" s="129">
        <f>GETPIVOTDATA("Total Hotel",'[1]Turistas zona y tipología'!$A$4,"MES",11,"AÑO",2007)</f>
        <v>263540</v>
      </c>
      <c r="K46" s="129">
        <f>GETPIVOTDATA("  Total Extrahoteleros",'[1]Turistas zona y tipología'!$A$4,"MES",11,"AÑO",2007)</f>
        <v>193990</v>
      </c>
      <c r="L46" s="129">
        <f>GETPIVOTDATA(" TOTAL GENERAL",'[1]Turistas zona y tipología'!$A$4,"MES",11,"AÑO",2007)</f>
        <v>457530</v>
      </c>
    </row>
    <row r="47" spans="3:12" hidden="1" outlineLevel="1">
      <c r="C47" s="51" t="s">
        <v>39</v>
      </c>
      <c r="D47" s="129">
        <f>GETPIVOTDATA("dato",'[1]Turistas zona y tipología'!$I$4,"categoría","Hoteleros","mes",10,"año",2007)</f>
        <v>110949</v>
      </c>
      <c r="E47" s="129">
        <f>GETPIVOTDATA("dato",'[1]Turistas zona y tipología'!$I$4,"categoría","EXTRAHOTELEROS","mes",10,"año",2007)</f>
        <v>59898</v>
      </c>
      <c r="F47" s="129">
        <f>GETPIVOTDATA("dato",'[1]Turistas zona y tipología'!$I$4,"categoría","TOTAL","mes",10,"año",2007)</f>
        <v>170847</v>
      </c>
      <c r="G47" s="129">
        <f>GETPIVOTDATA("Hotel Sur",'[1]Turistas zona y tipología'!$A$4,"MES",10,"AÑO",2007)</f>
        <v>199015</v>
      </c>
      <c r="H47" s="129">
        <f>GETPIVOTDATA("Extrahotelera Sur",'[1]Turistas zona y tipología'!$A$4,"MES",10,"AÑO",2007)</f>
        <v>158893</v>
      </c>
      <c r="I47" s="129">
        <f>GETPIVOTDATA("Total Sur",'[1]Turistas zona y tipología'!$A$4,"MES",10,"AÑO",2007)</f>
        <v>357908</v>
      </c>
      <c r="J47" s="129">
        <f>GETPIVOTDATA("Total Hotel",'[1]Turistas zona y tipología'!$A$4,"MES",10,"AÑO",2007)</f>
        <v>275246</v>
      </c>
      <c r="K47" s="129">
        <f>GETPIVOTDATA("  Total Extrahoteleros",'[1]Turistas zona y tipología'!$A$4,"MES",10,"AÑO",2007)</f>
        <v>191898</v>
      </c>
      <c r="L47" s="129">
        <f>GETPIVOTDATA(" TOTAL GENERAL",'[1]Turistas zona y tipología'!$A$4,"MES",10,"AÑO",2007)</f>
        <v>467144</v>
      </c>
    </row>
    <row r="48" spans="3:12" hidden="1" outlineLevel="1">
      <c r="C48" s="51" t="s">
        <v>40</v>
      </c>
      <c r="D48" s="129">
        <f>GETPIVOTDATA("dato",'[1]Turistas zona y tipología'!$I$4,"categoría","Hoteleros","mes",9,"año",2007)</f>
        <v>94691</v>
      </c>
      <c r="E48" s="129">
        <f>GETPIVOTDATA("dato",'[1]Turistas zona y tipología'!$I$4,"categoría","EXTRAHOTELEROS","mes",9,"año",2007)</f>
        <v>47682</v>
      </c>
      <c r="F48" s="129">
        <f>GETPIVOTDATA("dato",'[1]Turistas zona y tipología'!$I$4,"categoría","TOTAL","mes",9,"año",2007)</f>
        <v>142373</v>
      </c>
      <c r="G48" s="129">
        <f>GETPIVOTDATA("Hotel Sur",'[1]Turistas zona y tipología'!$A$4,"MES",9,"AÑO",2007)</f>
        <v>175845</v>
      </c>
      <c r="H48" s="129">
        <f>GETPIVOTDATA("Extrahotelera Sur",'[1]Turistas zona y tipología'!$A$4,"MES",9,"AÑO",2007)</f>
        <v>125750</v>
      </c>
      <c r="I48" s="129">
        <f>GETPIVOTDATA("Total Sur",'[1]Turistas zona y tipología'!$A$4,"MES",9,"AÑO",2007)</f>
        <v>301595</v>
      </c>
      <c r="J48" s="129">
        <f>GETPIVOTDATA("Total Hotel",'[1]Turistas zona y tipología'!$A$4,"MES",9,"AÑO",2007)</f>
        <v>253473</v>
      </c>
      <c r="K48" s="129">
        <f>GETPIVOTDATA("  Total Extrahoteleros",'[1]Turistas zona y tipología'!$A$4,"MES",9,"AÑO",2007)</f>
        <v>156216</v>
      </c>
      <c r="L48" s="129">
        <f>GETPIVOTDATA(" TOTAL GENERAL",'[1]Turistas zona y tipología'!$A$4,"MES",9,"AÑO",2007)</f>
        <v>409689</v>
      </c>
    </row>
    <row r="49" spans="3:12" hidden="1" outlineLevel="1">
      <c r="C49" s="51" t="s">
        <v>41</v>
      </c>
      <c r="D49" s="129">
        <f>GETPIVOTDATA("dato",'[1]Turistas zona y tipología'!$I$4,"categoría","Hoteleros","mes",8,"año",2007)</f>
        <v>113714</v>
      </c>
      <c r="E49" s="129">
        <f>GETPIVOTDATA("dato",'[1]Turistas zona y tipología'!$I$4,"categoría","EXTRAHOTELEROS","mes",8,"año",2007)</f>
        <v>71928</v>
      </c>
      <c r="F49" s="129">
        <f>GETPIVOTDATA("dato",'[1]Turistas zona y tipología'!$I$4,"categoría","TOTAL","mes",8,"año",2007)</f>
        <v>185642</v>
      </c>
      <c r="G49" s="129">
        <f>GETPIVOTDATA("Hotel Sur",'[1]Turistas zona y tipología'!$A$4,"MES",8,"AÑO",2007)</f>
        <v>205311</v>
      </c>
      <c r="H49" s="129">
        <f>GETPIVOTDATA("Extrahotelera Sur",'[1]Turistas zona y tipología'!$A$4,"MES",8,"AÑO",2007)</f>
        <v>182763</v>
      </c>
      <c r="I49" s="129">
        <f>GETPIVOTDATA("Total Sur",'[1]Turistas zona y tipología'!$A$4,"MES",8,"AÑO",2007)</f>
        <v>388074</v>
      </c>
      <c r="J49" s="129">
        <f>GETPIVOTDATA("Total Hotel",'[1]Turistas zona y tipología'!$A$4,"MES",8,"AÑO",2007)</f>
        <v>298880</v>
      </c>
      <c r="K49" s="129">
        <f>GETPIVOTDATA("  Total Extrahoteleros",'[1]Turistas zona y tipología'!$A$4,"MES",8,"AÑO",2007)</f>
        <v>229712</v>
      </c>
      <c r="L49" s="129">
        <f>GETPIVOTDATA(" TOTAL GENERAL",'[1]Turistas zona y tipología'!$A$4,"MES",8,"AÑO",2007)</f>
        <v>528592</v>
      </c>
    </row>
    <row r="50" spans="3:12" hidden="1" outlineLevel="1">
      <c r="C50" s="51" t="s">
        <v>42</v>
      </c>
      <c r="D50" s="129">
        <f>GETPIVOTDATA("dato",'[1]Turistas zona y tipología'!$I$4,"categoría","Hoteleros","mes",7,"año",2007)</f>
        <v>105230</v>
      </c>
      <c r="E50" s="129">
        <f>GETPIVOTDATA("dato",'[1]Turistas zona y tipología'!$I$4,"categoría","EXTRAHOTELEROS","mes",7,"año",2007)</f>
        <v>55089</v>
      </c>
      <c r="F50" s="129">
        <f>GETPIVOTDATA("dato",'[1]Turistas zona y tipología'!$I$4,"categoría","TOTAL","mes",7,"año",2007)</f>
        <v>160319</v>
      </c>
      <c r="G50" s="129">
        <f>GETPIVOTDATA("Hotel Sur",'[1]Turistas zona y tipología'!$A$4,"MES",7,"AÑO",2007)</f>
        <v>189409</v>
      </c>
      <c r="H50" s="129">
        <f>GETPIVOTDATA("Extrahotelera Sur",'[1]Turistas zona y tipología'!$A$4,"MES",7,"AÑO",2007)</f>
        <v>149119</v>
      </c>
      <c r="I50" s="129">
        <f>GETPIVOTDATA("Total Sur",'[1]Turistas zona y tipología'!$A$4,"MES",7,"AÑO",2007)</f>
        <v>338528</v>
      </c>
      <c r="J50" s="129">
        <f>GETPIVOTDATA("Total Hotel",'[1]Turistas zona y tipología'!$A$4,"MES",7,"AÑO",2007)</f>
        <v>275969</v>
      </c>
      <c r="K50" s="129">
        <f>GETPIVOTDATA("  Total Extrahoteleros",'[1]Turistas zona y tipología'!$A$4,"MES",7,"AÑO",2007)</f>
        <v>190210</v>
      </c>
      <c r="L50" s="129">
        <f>GETPIVOTDATA(" TOTAL GENERAL",'[1]Turistas zona y tipología'!$A$4,"MES",7,"AÑO",2007)</f>
        <v>466179</v>
      </c>
    </row>
    <row r="51" spans="3:12" hidden="1" outlineLevel="1">
      <c r="C51" s="51" t="s">
        <v>43</v>
      </c>
      <c r="D51" s="129">
        <f>GETPIVOTDATA("dato",'[1]Turistas zona y tipología'!$I$4,"categoría","Hoteleros","mes",6,"año",2007)</f>
        <v>96051</v>
      </c>
      <c r="E51" s="129">
        <f>GETPIVOTDATA("dato",'[1]Turistas zona y tipología'!$I$4,"categoría","EXTRAHOTELEROS","mes",6,"año",2007)</f>
        <v>48455</v>
      </c>
      <c r="F51" s="129">
        <f>GETPIVOTDATA("dato",'[1]Turistas zona y tipología'!$I$4,"categoría","TOTAL","mes",6,"año",2007)</f>
        <v>144506</v>
      </c>
      <c r="G51" s="129">
        <f>GETPIVOTDATA("Hotel Sur",'[1]Turistas zona y tipología'!$A$4,"MES",6,"AÑO",2007)</f>
        <v>172891</v>
      </c>
      <c r="H51" s="129">
        <f>GETPIVOTDATA("Extrahotelera Sur",'[1]Turistas zona y tipología'!$A$4,"MES",6,"AÑO",2007)</f>
        <v>130737</v>
      </c>
      <c r="I51" s="129">
        <f>GETPIVOTDATA("Total Sur",'[1]Turistas zona y tipología'!$A$4,"MES",6,"AÑO",2007)</f>
        <v>303628</v>
      </c>
      <c r="J51" s="129">
        <f>GETPIVOTDATA("Total Hotel",'[1]Turistas zona y tipología'!$A$4,"MES",6,"AÑO",2007)</f>
        <v>246945</v>
      </c>
      <c r="K51" s="129">
        <f>GETPIVOTDATA("  Total Extrahoteleros",'[1]Turistas zona y tipología'!$A$4,"MES",6,"AÑO",2007)</f>
        <v>164538</v>
      </c>
      <c r="L51" s="129">
        <f>GETPIVOTDATA(" TOTAL GENERAL",'[1]Turistas zona y tipología'!$A$4,"MES",6,"AÑO",2007)</f>
        <v>411483</v>
      </c>
    </row>
    <row r="52" spans="3:12" hidden="1" outlineLevel="1">
      <c r="C52" s="51" t="s">
        <v>44</v>
      </c>
      <c r="D52" s="129">
        <f>GETPIVOTDATA("dato",'[1]Turistas zona y tipología'!$I$4,"categoría","Hoteleros","mes",5,"año",2007)</f>
        <v>79884</v>
      </c>
      <c r="E52" s="129">
        <f>GETPIVOTDATA("dato",'[1]Turistas zona y tipología'!$I$4,"categoría","EXTRAHOTELEROS","mes",5,"año",2007)</f>
        <v>36244</v>
      </c>
      <c r="F52" s="129">
        <f>GETPIVOTDATA("dato",'[1]Turistas zona y tipología'!$I$4,"categoría","TOTAL","mes",5,"año",2007)</f>
        <v>116128</v>
      </c>
      <c r="G52" s="129">
        <f>GETPIVOTDATA("Hotel Sur",'[1]Turistas zona y tipología'!$A$4,"MES",5,"AÑO",2007)</f>
        <v>146657</v>
      </c>
      <c r="H52" s="129">
        <f>GETPIVOTDATA("Extrahotelera Sur",'[1]Turistas zona y tipología'!$A$4,"MES",5,"AÑO",2007)</f>
        <v>105750</v>
      </c>
      <c r="I52" s="129">
        <f>GETPIVOTDATA("Total Sur",'[1]Turistas zona y tipología'!$A$4,"MES",5,"AÑO",2007)</f>
        <v>252407</v>
      </c>
      <c r="J52" s="129">
        <f>GETPIVOTDATA("Total Hotel",'[1]Turistas zona y tipología'!$A$4,"MES",5,"AÑO",2007)</f>
        <v>210524</v>
      </c>
      <c r="K52" s="129">
        <f>GETPIVOTDATA("  Total Extrahoteleros",'[1]Turistas zona y tipología'!$A$4,"MES",5,"AÑO",2007)</f>
        <v>131029</v>
      </c>
      <c r="L52" s="129">
        <f>GETPIVOTDATA(" TOTAL GENERAL",'[1]Turistas zona y tipología'!$A$4,"MES",5,"AÑO",2007)</f>
        <v>341553</v>
      </c>
    </row>
    <row r="53" spans="3:12" hidden="1" outlineLevel="1">
      <c r="C53" s="51" t="s">
        <v>45</v>
      </c>
      <c r="D53" s="129">
        <f>GETPIVOTDATA("dato",'[1]Turistas zona y tipología'!$I$4,"categoría","Hoteleros","mes",4,"año",2007)</f>
        <v>106135</v>
      </c>
      <c r="E53" s="129">
        <f>GETPIVOTDATA("dato",'[1]Turistas zona y tipología'!$I$4,"categoría","EXTRAHOTELEROS","mes",4,"año",2007)</f>
        <v>54856</v>
      </c>
      <c r="F53" s="129">
        <f>GETPIVOTDATA("dato",'[1]Turistas zona y tipología'!$I$4,"categoría","TOTAL","mes",4,"año",2007)</f>
        <v>160991</v>
      </c>
      <c r="G53" s="129">
        <f>GETPIVOTDATA("Hotel Sur",'[1]Turistas zona y tipología'!$A$4,"MES",4,"AÑO",2007)</f>
        <v>185806</v>
      </c>
      <c r="H53" s="129">
        <f>GETPIVOTDATA("Extrahotelera Sur",'[1]Turistas zona y tipología'!$A$4,"MES",4,"AÑO",2007)</f>
        <v>141097</v>
      </c>
      <c r="I53" s="129">
        <f>GETPIVOTDATA("Total Sur",'[1]Turistas zona y tipología'!$A$4,"MES",4,"AÑO",2007)</f>
        <v>326903</v>
      </c>
      <c r="J53" s="129">
        <f>GETPIVOTDATA("Total Hotel",'[1]Turistas zona y tipología'!$A$4,"MES",4,"AÑO",2007)</f>
        <v>265819</v>
      </c>
      <c r="K53" s="129">
        <f>GETPIVOTDATA("  Total Extrahoteleros",'[1]Turistas zona y tipología'!$A$4,"MES",4,"AÑO",2007)</f>
        <v>172418</v>
      </c>
      <c r="L53" s="129">
        <f>GETPIVOTDATA(" TOTAL GENERAL",'[1]Turistas zona y tipología'!$A$4,"MES",4,"AÑO",2007)</f>
        <v>438237</v>
      </c>
    </row>
    <row r="54" spans="3:12" hidden="1" outlineLevel="1">
      <c r="C54" s="51" t="s">
        <v>46</v>
      </c>
      <c r="D54" s="129">
        <f>GETPIVOTDATA("dato",'[1]Turistas zona y tipología'!$I$4,"categoría","Hoteleros","mes",3,"año",2007)</f>
        <v>106181</v>
      </c>
      <c r="E54" s="129">
        <f>GETPIVOTDATA("dato",'[1]Turistas zona y tipología'!$I$4,"categoría","EXTRAHOTELEROS","mes",3,"año",2007)</f>
        <v>68170</v>
      </c>
      <c r="F54" s="129">
        <f>GETPIVOTDATA("dato",'[1]Turistas zona y tipología'!$I$4,"categoría","TOTAL","mes",3,"año",2007)</f>
        <v>174351</v>
      </c>
      <c r="G54" s="129">
        <f>GETPIVOTDATA("Hotel Sur",'[1]Turistas zona y tipología'!$A$4,"MES",3,"AÑO",2007)</f>
        <v>195453</v>
      </c>
      <c r="H54" s="129">
        <f>GETPIVOTDATA("Extrahotelera Sur",'[1]Turistas zona y tipología'!$A$4,"MES",3,"AÑO",2007)</f>
        <v>177874</v>
      </c>
      <c r="I54" s="129">
        <f>GETPIVOTDATA("Total Sur",'[1]Turistas zona y tipología'!$A$4,"MES",3,"AÑO",2007)</f>
        <v>373327</v>
      </c>
      <c r="J54" s="129">
        <f>GETPIVOTDATA("Total Hotel",'[1]Turistas zona y tipología'!$A$4,"MES",3,"AÑO",2007)</f>
        <v>278031</v>
      </c>
      <c r="K54" s="129">
        <f>GETPIVOTDATA("  Total Extrahoteleros",'[1]Turistas zona y tipología'!$A$4,"MES",3,"AÑO",2007)</f>
        <v>210998</v>
      </c>
      <c r="L54" s="129">
        <f>GETPIVOTDATA(" TOTAL GENERAL",'[1]Turistas zona y tipología'!$A$4,"MES",3,"AÑO",2007)</f>
        <v>489029</v>
      </c>
    </row>
    <row r="55" spans="3:12" hidden="1" outlineLevel="1">
      <c r="C55" s="51" t="s">
        <v>47</v>
      </c>
      <c r="D55" s="129">
        <f>GETPIVOTDATA("dato",'[1]Turistas zona y tipología'!$I$4,"categoría","Hoteleros","mes",2,"año",2007)</f>
        <v>94017</v>
      </c>
      <c r="E55" s="129">
        <f>GETPIVOTDATA("dato",'[1]Turistas zona y tipología'!$I$4,"categoría","EXTRAHOTELEROS","mes",2,"año",2007)</f>
        <v>57394</v>
      </c>
      <c r="F55" s="129">
        <f>GETPIVOTDATA("dato",'[1]Turistas zona y tipología'!$I$4,"categoría","TOTAL","mes",2,"año",2007)</f>
        <v>151411</v>
      </c>
      <c r="G55" s="129">
        <f>GETPIVOTDATA("Hotel Sur",'[1]Turistas zona y tipología'!$A$4,"MES",2,"AÑO",2007)</f>
        <v>171025</v>
      </c>
      <c r="H55" s="129">
        <f>GETPIVOTDATA("Extrahotelera Sur",'[1]Turistas zona y tipología'!$A$4,"MES",2,"AÑO",2007)</f>
        <v>155321</v>
      </c>
      <c r="I55" s="129">
        <f>GETPIVOTDATA("Total Sur",'[1]Turistas zona y tipología'!$A$4,"MES",2,"AÑO",2007)</f>
        <v>326346</v>
      </c>
      <c r="J55" s="129">
        <f>GETPIVOTDATA("Total Hotel",'[1]Turistas zona y tipología'!$A$4,"MES",2,"AÑO",2007)</f>
        <v>242636</v>
      </c>
      <c r="K55" s="129">
        <f>GETPIVOTDATA("  Total Extrahoteleros",'[1]Turistas zona y tipología'!$A$4,"MES",2,"AÑO",2007)</f>
        <v>181250</v>
      </c>
      <c r="L55" s="129">
        <f>GETPIVOTDATA(" TOTAL GENERAL",'[1]Turistas zona y tipología'!$A$4,"MES",2,"AÑO",2007)</f>
        <v>423886</v>
      </c>
    </row>
    <row r="56" spans="3:12" hidden="1" outlineLevel="1">
      <c r="C56" s="51" t="s">
        <v>48</v>
      </c>
      <c r="D56" s="129">
        <f>GETPIVOTDATA("dato",'[1]Turistas zona y tipología'!$I$4,"categoría","Hoteleros","mes",1,"año",2007)</f>
        <v>91231</v>
      </c>
      <c r="E56" s="129">
        <f>GETPIVOTDATA("dato",'[1]Turistas zona y tipología'!$I$4,"categoría","EXTRAHOTELEROS","mes",1,"año",2007)</f>
        <v>55013</v>
      </c>
      <c r="F56" s="129">
        <f>GETPIVOTDATA("dato",'[1]Turistas zona y tipología'!$I$4,"categoría","TOTAL","mes",1,"año",2007)</f>
        <v>146244</v>
      </c>
      <c r="G56" s="129">
        <f>GETPIVOTDATA("Hotel Sur",'[1]Turistas zona y tipología'!$A$4,"MES",1,"AÑO",2007)</f>
        <v>168482</v>
      </c>
      <c r="H56" s="129">
        <f>GETPIVOTDATA("Extrahotelera Sur",'[1]Turistas zona y tipología'!$A$4,"MES",1,"AÑO",2007)</f>
        <v>144001</v>
      </c>
      <c r="I56" s="129">
        <f>GETPIVOTDATA("Total Sur",'[1]Turistas zona y tipología'!$A$4,"MES",1,"AÑO",2007)</f>
        <v>312483</v>
      </c>
      <c r="J56" s="129">
        <f>GETPIVOTDATA("Total Hotel",'[1]Turistas zona y tipología'!$A$4,"MES",1,"AÑO",2007)</f>
        <v>236048</v>
      </c>
      <c r="K56" s="129">
        <f>GETPIVOTDATA("  Total Extrahoteleros",'[1]Turistas zona y tipología'!$A$4,"MES",1,"AÑO",2007)</f>
        <v>171078</v>
      </c>
      <c r="L56" s="129">
        <f>GETPIVOTDATA(" TOTAL GENERAL",'[1]Turistas zona y tipología'!$A$4,"MES",1,"AÑO",2007)</f>
        <v>407126</v>
      </c>
    </row>
    <row r="57" spans="3:12" collapsed="1">
      <c r="C57" s="134">
        <v>2007</v>
      </c>
      <c r="D57" s="135">
        <f>GETPIVOTDATA("dato",'[1]Turistas zona y tipología'!$I$4,"categoría","Hoteleros","año",2007)</f>
        <v>1195570</v>
      </c>
      <c r="E57" s="135">
        <f>GETPIVOTDATA("dato",'[1]Turistas zona y tipología'!$I$4,"categoría","EXTRAHOTELEROS","año",2007)</f>
        <v>672612</v>
      </c>
      <c r="F57" s="135">
        <f>GETPIVOTDATA("dato",'[1]Turistas zona y tipología'!$I$4,"categoría","TOTAL","año",2007)</f>
        <v>1868182</v>
      </c>
      <c r="G57" s="135">
        <f>GETPIVOTDATA("Hotel Sur",'[1]Turistas zona y tipología'!$A$4,"AÑO",2007)</f>
        <v>2167795</v>
      </c>
      <c r="H57" s="135">
        <f>GETPIVOTDATA("Extrahotelera Sur",'[1]Turistas zona y tipología'!$A$4,"AÑO",2007)</f>
        <v>1792148</v>
      </c>
      <c r="I57" s="135">
        <f>GETPIVOTDATA("Total Sur",'[1]Turistas zona y tipología'!$A$4,"AÑO",2007)</f>
        <v>3959943</v>
      </c>
      <c r="J57" s="135">
        <f>GETPIVOTDATA("Total Hotel",'[1]Turistas zona y tipología'!$A$4,"AÑO",2007)</f>
        <v>3096489</v>
      </c>
      <c r="K57" s="135">
        <f>GETPIVOTDATA("  Total Extrahoteleros",'[1]Turistas zona y tipología'!$A$4,"AÑO",2007)</f>
        <v>2182295</v>
      </c>
      <c r="L57" s="135">
        <f>GETPIVOTDATA(" TOTAL GENERAL",'[1]Turistas zona y tipología'!$A$4,"AÑO",2007)</f>
        <v>5278784</v>
      </c>
    </row>
    <row r="58" spans="3:12" hidden="1" outlineLevel="1">
      <c r="C58" s="51" t="s">
        <v>37</v>
      </c>
      <c r="D58" s="129">
        <f>GETPIVOTDATA("dato",'[1]Turistas zona y tipología'!$I$4,"categoría","Hoteleros","mes",12,"año",2006)</f>
        <v>99328</v>
      </c>
      <c r="E58" s="129">
        <f>GETPIVOTDATA("dato",'[1]Turistas zona y tipología'!$I$4,"categoría","EXTRAHOTELEROS","mes",12,"año",2006)</f>
        <v>60521</v>
      </c>
      <c r="F58" s="129">
        <f>GETPIVOTDATA("dato",'[1]Turistas zona y tipología'!$I$4,"categoría","TOTAL","mes",12,"año",2006)</f>
        <v>159849</v>
      </c>
      <c r="G58" s="129">
        <f>GETPIVOTDATA("Hotel Sur",'[1]Turistas zona y tipología'!$A$4,"MES",12,"AÑO",2006)</f>
        <v>181193</v>
      </c>
      <c r="H58" s="129">
        <f>GETPIVOTDATA("Extrahotelera Sur",'[1]Turistas zona y tipología'!$A$4,"MES",12,"AÑO",2006)</f>
        <v>166507</v>
      </c>
      <c r="I58" s="129">
        <f>GETPIVOTDATA("Total Sur",'[1]Turistas zona y tipología'!$A$4,"MES",12,"AÑO",2006)</f>
        <v>347700</v>
      </c>
      <c r="J58" s="129">
        <f>GETPIVOTDATA("Total Hotel",'[1]Turistas zona y tipología'!$A$4,"MES",12,"AÑO",2006)</f>
        <v>257174</v>
      </c>
      <c r="K58" s="129">
        <f>GETPIVOTDATA("  Total Extrahoteleros",'[1]Turistas zona y tipología'!$A$4,"MES",12,"AÑO",2006)</f>
        <v>199259</v>
      </c>
      <c r="L58" s="129">
        <f>GETPIVOTDATA(" TOTAL GENERAL",'[1]Turistas zona y tipología'!$A$4,"MES",12,"AÑO",2006)</f>
        <v>456433</v>
      </c>
    </row>
    <row r="59" spans="3:12" hidden="1" outlineLevel="1">
      <c r="C59" s="51" t="s">
        <v>38</v>
      </c>
      <c r="D59" s="129">
        <f>GETPIVOTDATA("dato",'[1]Turistas zona y tipología'!$I$4,"categoría","Hoteleros","mes",11,"año",2006)</f>
        <v>100673</v>
      </c>
      <c r="E59" s="129">
        <f>GETPIVOTDATA("dato",'[1]Turistas zona y tipología'!$I$4,"categoría","EXTRAHOTELEROS","mes",11,"año",2006)</f>
        <v>51603</v>
      </c>
      <c r="F59" s="129">
        <f>GETPIVOTDATA("dato",'[1]Turistas zona y tipología'!$I$4,"categoría","TOTAL","mes",11,"año",2006)</f>
        <v>152276</v>
      </c>
      <c r="G59" s="129">
        <f>GETPIVOTDATA("Hotel Sur",'[1]Turistas zona y tipología'!$A$4,"MES",11,"AÑO",2006)</f>
        <v>179081</v>
      </c>
      <c r="H59" s="129">
        <f>GETPIVOTDATA("Extrahotelera Sur",'[1]Turistas zona y tipología'!$A$4,"MES",11,"AÑO",2006)</f>
        <v>145484</v>
      </c>
      <c r="I59" s="129">
        <f>GETPIVOTDATA("Total Sur",'[1]Turistas zona y tipología'!$A$4,"MES",11,"AÑO",2006)</f>
        <v>324565</v>
      </c>
      <c r="J59" s="129">
        <f>GETPIVOTDATA("Total Hotel",'[1]Turistas zona y tipología'!$A$4,"MES",11,"AÑO",2006)</f>
        <v>257285</v>
      </c>
      <c r="K59" s="129">
        <f>GETPIVOTDATA("  Total Extrahoteleros",'[1]Turistas zona y tipología'!$A$4,"MES",11,"AÑO",2006)</f>
        <v>175252</v>
      </c>
      <c r="L59" s="129">
        <f>GETPIVOTDATA(" TOTAL GENERAL",'[1]Turistas zona y tipología'!$A$4,"MES",11,"AÑO",2006)</f>
        <v>432537</v>
      </c>
    </row>
    <row r="60" spans="3:12" hidden="1" outlineLevel="1">
      <c r="C60" s="51" t="s">
        <v>39</v>
      </c>
      <c r="D60" s="129">
        <f>GETPIVOTDATA("dato",'[1]Turistas zona y tipología'!$I$4,"categoría","Hoteleros","mes",10,"año",2006)</f>
        <v>112995</v>
      </c>
      <c r="E60" s="129">
        <f>GETPIVOTDATA("dato",'[1]Turistas zona y tipología'!$I$4,"categoría","EXTRAHOTELEROS","mes",10,"año",2006)</f>
        <v>63866</v>
      </c>
      <c r="F60" s="129">
        <f>GETPIVOTDATA("dato",'[1]Turistas zona y tipología'!$I$4,"categoría","TOTAL","mes",10,"año",2006)</f>
        <v>176861</v>
      </c>
      <c r="G60" s="129">
        <f>GETPIVOTDATA("Hotel Sur",'[1]Turistas zona y tipología'!$A$4,"MES",10,"AÑO",2006)</f>
        <v>207424</v>
      </c>
      <c r="H60" s="129">
        <f>GETPIVOTDATA("Extrahotelera Sur",'[1]Turistas zona y tipología'!$A$4,"MES",10,"AÑO",2006)</f>
        <v>172301</v>
      </c>
      <c r="I60" s="129">
        <f>GETPIVOTDATA("Total Sur",'[1]Turistas zona y tipología'!$A$4,"MES",10,"AÑO",2006)</f>
        <v>379725</v>
      </c>
      <c r="J60" s="129">
        <f>GETPIVOTDATA("Total Hotel",'[1]Turistas zona y tipología'!$A$4,"MES",10,"AÑO",2006)</f>
        <v>283799</v>
      </c>
      <c r="K60" s="129">
        <f>GETPIVOTDATA("  Total Extrahoteleros",'[1]Turistas zona y tipología'!$A$4,"MES",10,"AÑO",2006)</f>
        <v>204016</v>
      </c>
      <c r="L60" s="129">
        <f>GETPIVOTDATA(" TOTAL GENERAL",'[1]Turistas zona y tipología'!$A$4,"MES",10,"AÑO",2006)</f>
        <v>487815</v>
      </c>
    </row>
    <row r="61" spans="3:12" hidden="1" outlineLevel="1">
      <c r="C61" s="51" t="s">
        <v>40</v>
      </c>
      <c r="D61" s="129">
        <f>GETPIVOTDATA("dato",'[1]Turistas zona y tipología'!$I$4,"categoría","Hoteleros","mes",9,"año",2006)</f>
        <v>103337</v>
      </c>
      <c r="E61" s="129">
        <f>GETPIVOTDATA("dato",'[1]Turistas zona y tipología'!$I$4,"categoría","EXTRAHOTELEROS","mes",9,"año",2006)</f>
        <v>60303</v>
      </c>
      <c r="F61" s="129">
        <f>GETPIVOTDATA("dato",'[1]Turistas zona y tipología'!$I$4,"categoría","TOTAL","mes",9,"año",2006)</f>
        <v>163640</v>
      </c>
      <c r="G61" s="129">
        <f>GETPIVOTDATA("Hotel Sur",'[1]Turistas zona y tipología'!$A$4,"MES",9,"AÑO",2006)</f>
        <v>186392</v>
      </c>
      <c r="H61" s="129">
        <f>GETPIVOTDATA("Extrahotelera Sur",'[1]Turistas zona y tipología'!$A$4,"MES",9,"AÑO",2006)</f>
        <v>157341</v>
      </c>
      <c r="I61" s="129">
        <f>GETPIVOTDATA("Total Sur",'[1]Turistas zona y tipología'!$A$4,"MES",9,"AÑO",2006)</f>
        <v>343733</v>
      </c>
      <c r="J61" s="129">
        <f>GETPIVOTDATA("Total Hotel",'[1]Turistas zona y tipología'!$A$4,"MES",9,"AÑO",2006)</f>
        <v>271419</v>
      </c>
      <c r="K61" s="129">
        <f>GETPIVOTDATA("  Total Extrahoteleros",'[1]Turistas zona y tipología'!$A$4,"MES",9,"AÑO",2006)</f>
        <v>192507</v>
      </c>
      <c r="L61" s="129">
        <f>GETPIVOTDATA(" TOTAL GENERAL",'[1]Turistas zona y tipología'!$A$4,"MES",9,"AÑO",2006)</f>
        <v>463926</v>
      </c>
    </row>
    <row r="62" spans="3:12" hidden="1" outlineLevel="1">
      <c r="C62" s="51" t="s">
        <v>41</v>
      </c>
      <c r="D62" s="129">
        <f>GETPIVOTDATA("dato",'[1]Turistas zona y tipología'!$I$4,"categoría","Hoteleros","mes",8,"año",2006)</f>
        <v>112972</v>
      </c>
      <c r="E62" s="129">
        <f>GETPIVOTDATA("dato",'[1]Turistas zona y tipología'!$I$4,"categoría","EXTRAHOTELEROS","mes",8,"año",2006)</f>
        <v>69263</v>
      </c>
      <c r="F62" s="129">
        <f>GETPIVOTDATA("dato",'[1]Turistas zona y tipología'!$I$4,"categoría","TOTAL","mes",8,"año",2006)</f>
        <v>182235</v>
      </c>
      <c r="G62" s="129">
        <f>GETPIVOTDATA("Hotel Sur",'[1]Turistas zona y tipología'!$A$4,"MES",8,"AÑO",2006)</f>
        <v>207253</v>
      </c>
      <c r="H62" s="129">
        <f>GETPIVOTDATA("Extrahotelera Sur",'[1]Turistas zona y tipología'!$A$4,"MES",8,"AÑO",2006)</f>
        <v>185044</v>
      </c>
      <c r="I62" s="129">
        <f>GETPIVOTDATA("Total Sur",'[1]Turistas zona y tipología'!$A$4,"MES",8,"AÑO",2006)</f>
        <v>392297</v>
      </c>
      <c r="J62" s="129">
        <f>GETPIVOTDATA("Total Hotel",'[1]Turistas zona y tipología'!$A$4,"MES",8,"AÑO",2006)</f>
        <v>301594</v>
      </c>
      <c r="K62" s="129">
        <f>GETPIVOTDATA("  Total Extrahoteleros",'[1]Turistas zona y tipología'!$A$4,"MES",8,"AÑO",2006)</f>
        <v>231405</v>
      </c>
      <c r="L62" s="129">
        <f>GETPIVOTDATA(" TOTAL GENERAL",'[1]Turistas zona y tipología'!$A$4,"MES",8,"AÑO",2006)</f>
        <v>532999</v>
      </c>
    </row>
    <row r="63" spans="3:12" hidden="1" outlineLevel="1">
      <c r="C63" s="51" t="s">
        <v>42</v>
      </c>
      <c r="D63" s="129">
        <f>GETPIVOTDATA("dato",'[1]Turistas zona y tipología'!$I$4,"categoría","Hoteleros","mes",7,"año",2006)</f>
        <v>104207</v>
      </c>
      <c r="E63" s="129">
        <f>GETPIVOTDATA("dato",'[1]Turistas zona y tipología'!$I$4,"categoría","EXTRAHOTELEROS","mes",7,"año",2006)</f>
        <v>63787</v>
      </c>
      <c r="F63" s="129">
        <f>GETPIVOTDATA("dato",'[1]Turistas zona y tipología'!$I$4,"categoría","TOTAL","mes",7,"año",2006)</f>
        <v>167994</v>
      </c>
      <c r="G63" s="129">
        <f>GETPIVOTDATA("Hotel Sur",'[1]Turistas zona y tipología'!$A$4,"MES",7,"AÑO",2006)</f>
        <v>188344</v>
      </c>
      <c r="H63" s="129">
        <f>GETPIVOTDATA("Extrahotelera Sur",'[1]Turistas zona y tipología'!$A$4,"MES",7,"AÑO",2006)</f>
        <v>164669</v>
      </c>
      <c r="I63" s="129">
        <f>GETPIVOTDATA("Total Sur",'[1]Turistas zona y tipología'!$A$4,"MES",7,"AÑO",2006)</f>
        <v>353013</v>
      </c>
      <c r="J63" s="129">
        <f>GETPIVOTDATA("Total Hotel",'[1]Turistas zona y tipología'!$A$4,"MES",7,"AÑO",2006)</f>
        <v>279188</v>
      </c>
      <c r="K63" s="129">
        <f>GETPIVOTDATA("  Total Extrahoteleros",'[1]Turistas zona y tipología'!$A$4,"MES",7,"AÑO",2006)</f>
        <v>206958</v>
      </c>
      <c r="L63" s="129">
        <f>GETPIVOTDATA(" TOTAL GENERAL",'[1]Turistas zona y tipología'!$A$4,"MES",7,"AÑO",2006)</f>
        <v>486146</v>
      </c>
    </row>
    <row r="64" spans="3:12" hidden="1" outlineLevel="1">
      <c r="C64" s="51" t="s">
        <v>43</v>
      </c>
      <c r="D64" s="129">
        <f>GETPIVOTDATA("dato",'[1]Turistas zona y tipología'!$I$4,"categoría","Hoteleros","mes",6,"año",2006)</f>
        <v>95463</v>
      </c>
      <c r="E64" s="129">
        <f>GETPIVOTDATA("dato",'[1]Turistas zona y tipología'!$I$4,"categoría","EXTRAHOTELEROS","mes",6,"año",2006)</f>
        <v>55579</v>
      </c>
      <c r="F64" s="129">
        <f>GETPIVOTDATA("dato",'[1]Turistas zona y tipología'!$I$4,"categoría","TOTAL","mes",6,"año",2006)</f>
        <v>151042</v>
      </c>
      <c r="G64" s="129">
        <f>GETPIVOTDATA("Hotel Sur",'[1]Turistas zona y tipología'!$A$4,"MES",6,"AÑO",2006)</f>
        <v>171402</v>
      </c>
      <c r="H64" s="129">
        <f>GETPIVOTDATA("Extrahotelera Sur",'[1]Turistas zona y tipología'!$A$4,"MES",6,"AÑO",2006)</f>
        <v>144907</v>
      </c>
      <c r="I64" s="129">
        <f>GETPIVOTDATA("Total Sur",'[1]Turistas zona y tipología'!$A$4,"MES",6,"AÑO",2006)</f>
        <v>316309</v>
      </c>
      <c r="J64" s="129">
        <f>GETPIVOTDATA("Total Hotel",'[1]Turistas zona y tipología'!$A$4,"MES",6,"AÑO",2006)</f>
        <v>247714</v>
      </c>
      <c r="K64" s="129">
        <f>GETPIVOTDATA("  Total Extrahoteleros",'[1]Turistas zona y tipología'!$A$4,"MES",6,"AÑO",2006)</f>
        <v>177405</v>
      </c>
      <c r="L64" s="129">
        <f>GETPIVOTDATA(" TOTAL GENERAL",'[1]Turistas zona y tipología'!$A$4,"MES",6,"AÑO",2006)</f>
        <v>425119</v>
      </c>
    </row>
    <row r="65" spans="3:12" hidden="1" outlineLevel="1">
      <c r="C65" s="51" t="s">
        <v>44</v>
      </c>
      <c r="D65" s="129">
        <f>GETPIVOTDATA("dato",'[1]Turistas zona y tipología'!$I$4,"categoría","Hoteleros","mes",5,"año",2006)</f>
        <v>89194</v>
      </c>
      <c r="E65" s="129">
        <f>GETPIVOTDATA("dato",'[1]Turistas zona y tipología'!$I$4,"categoría","EXTRAHOTELEROS","mes",5,"año",2006)</f>
        <v>43124</v>
      </c>
      <c r="F65" s="129">
        <f>GETPIVOTDATA("dato",'[1]Turistas zona y tipología'!$I$4,"categoría","TOTAL","mes",5,"año",2006)</f>
        <v>132318</v>
      </c>
      <c r="G65" s="129">
        <f>GETPIVOTDATA("Hotel Sur",'[1]Turistas zona y tipología'!$A$4,"MES",5,"AÑO",2006)</f>
        <v>161609</v>
      </c>
      <c r="H65" s="129">
        <f>GETPIVOTDATA("Extrahotelera Sur",'[1]Turistas zona y tipología'!$A$4,"MES",5,"AÑO",2006)</f>
        <v>118405</v>
      </c>
      <c r="I65" s="129">
        <f>GETPIVOTDATA("Total Sur",'[1]Turistas zona y tipología'!$A$4,"MES",5,"AÑO",2006)</f>
        <v>280014</v>
      </c>
      <c r="J65" s="129">
        <f>GETPIVOTDATA("Total Hotel",'[1]Turistas zona y tipología'!$A$4,"MES",5,"AÑO",2006)</f>
        <v>231999</v>
      </c>
      <c r="K65" s="129">
        <f>GETPIVOTDATA("  Total Extrahoteleros",'[1]Turistas zona y tipología'!$A$4,"MES",5,"AÑO",2006)</f>
        <v>144399</v>
      </c>
      <c r="L65" s="129">
        <f>GETPIVOTDATA(" TOTAL GENERAL",'[1]Turistas zona y tipología'!$A$4,"MES",5,"AÑO",2006)</f>
        <v>376398</v>
      </c>
    </row>
    <row r="66" spans="3:12" hidden="1" outlineLevel="1">
      <c r="C66" s="51" t="s">
        <v>45</v>
      </c>
      <c r="D66" s="129">
        <f>GETPIVOTDATA("dato",'[1]Turistas zona y tipología'!$I$4,"categoría","Hoteleros","mes",4,"año",2006)</f>
        <v>113197</v>
      </c>
      <c r="E66" s="129">
        <f>GETPIVOTDATA("dato",'[1]Turistas zona y tipología'!$I$4,"categoría","EXTRAHOTELEROS","mes",4,"año",2006)</f>
        <v>60845</v>
      </c>
      <c r="F66" s="129">
        <f>GETPIVOTDATA("dato",'[1]Turistas zona y tipología'!$I$4,"categoría","TOTAL","mes",4,"año",2006)</f>
        <v>174042</v>
      </c>
      <c r="G66" s="129">
        <f>GETPIVOTDATA("Hotel Sur",'[1]Turistas zona y tipología'!$A$4,"MES",4,"AÑO",2006)</f>
        <v>202516</v>
      </c>
      <c r="H66" s="129">
        <f>GETPIVOTDATA("Extrahotelera Sur",'[1]Turistas zona y tipología'!$A$4,"MES",4,"AÑO",2006)</f>
        <v>159496</v>
      </c>
      <c r="I66" s="129">
        <f>GETPIVOTDATA("Total Sur",'[1]Turistas zona y tipología'!$A$4,"MES",4,"AÑO",2006)</f>
        <v>362012</v>
      </c>
      <c r="J66" s="129">
        <f>GETPIVOTDATA("Total Hotel",'[1]Turistas zona y tipología'!$A$4,"MES",4,"AÑO",2006)</f>
        <v>280921</v>
      </c>
      <c r="K66" s="129">
        <f>GETPIVOTDATA("  Total Extrahoteleros",'[1]Turistas zona y tipología'!$A$4,"MES",4,"AÑO",2006)</f>
        <v>195664</v>
      </c>
      <c r="L66" s="129">
        <f>GETPIVOTDATA(" TOTAL GENERAL",'[1]Turistas zona y tipología'!$A$4,"MES",4,"AÑO",2006)</f>
        <v>476585</v>
      </c>
    </row>
    <row r="67" spans="3:12" hidden="1" outlineLevel="1">
      <c r="C67" s="51" t="s">
        <v>46</v>
      </c>
      <c r="D67" s="129">
        <f>GETPIVOTDATA("dato",'[1]Turistas zona y tipología'!$I$4,"categoría","Hoteleros","mes",3,"año",2006)</f>
        <v>103146</v>
      </c>
      <c r="E67" s="129">
        <f>GETPIVOTDATA("dato",'[1]Turistas zona y tipología'!$I$4,"categoría","EXTRAHOTELEROS","mes",3,"año",2006)</f>
        <v>64603</v>
      </c>
      <c r="F67" s="129">
        <f>GETPIVOTDATA("dato",'[1]Turistas zona y tipología'!$I$4,"categoría","TOTAL","mes",3,"año",2006)</f>
        <v>167749</v>
      </c>
      <c r="G67" s="129">
        <f>GETPIVOTDATA("Hotel Sur",'[1]Turistas zona y tipología'!$A$4,"MES",3,"AÑO",2006)</f>
        <v>186145</v>
      </c>
      <c r="H67" s="129">
        <f>GETPIVOTDATA("Extrahotelera Sur",'[1]Turistas zona y tipología'!$A$4,"MES",3,"AÑO",2006)</f>
        <v>172447</v>
      </c>
      <c r="I67" s="129">
        <f>GETPIVOTDATA("Total Sur",'[1]Turistas zona y tipología'!$A$4,"MES",3,"AÑO",2006)</f>
        <v>358592</v>
      </c>
      <c r="J67" s="129">
        <f>GETPIVOTDATA("Total Hotel",'[1]Turistas zona y tipología'!$A$4,"MES",3,"AÑO",2006)</f>
        <v>263907</v>
      </c>
      <c r="K67" s="129">
        <f>GETPIVOTDATA("  Total Extrahoteleros",'[1]Turistas zona y tipología'!$A$4,"MES",3,"AÑO",2006)</f>
        <v>205829</v>
      </c>
      <c r="L67" s="129">
        <f>GETPIVOTDATA(" TOTAL GENERAL",'[1]Turistas zona y tipología'!$A$4,"MES",3,"AÑO",2006)</f>
        <v>469736</v>
      </c>
    </row>
    <row r="68" spans="3:12" hidden="1" outlineLevel="1">
      <c r="C68" s="51" t="s">
        <v>47</v>
      </c>
      <c r="D68" s="129">
        <f>GETPIVOTDATA("dato",'[1]Turistas zona y tipología'!$I$4,"categoría","Hoteleros","mes",2,"año",2006)</f>
        <v>92305</v>
      </c>
      <c r="E68" s="129">
        <f>GETPIVOTDATA("dato",'[1]Turistas zona y tipología'!$I$4,"categoría","EXTRAHOTELEROS","mes",2,"año",2006)</f>
        <v>58440</v>
      </c>
      <c r="F68" s="129">
        <f>GETPIVOTDATA("dato",'[1]Turistas zona y tipología'!$I$4,"categoría","TOTAL","mes",2,"año",2006)</f>
        <v>150745</v>
      </c>
      <c r="G68" s="129">
        <f>GETPIVOTDATA("Hotel Sur",'[1]Turistas zona y tipología'!$A$4,"MES",2,"AÑO",2006)</f>
        <v>164677</v>
      </c>
      <c r="H68" s="129">
        <f>GETPIVOTDATA("Extrahotelera Sur",'[1]Turistas zona y tipología'!$A$4,"MES",2,"AÑO",2006)</f>
        <v>157199</v>
      </c>
      <c r="I68" s="129">
        <f>GETPIVOTDATA("Total Sur",'[1]Turistas zona y tipología'!$A$4,"MES",2,"AÑO",2006)</f>
        <v>321876</v>
      </c>
      <c r="J68" s="129">
        <f>GETPIVOTDATA("Total Hotel",'[1]Turistas zona y tipología'!$A$4,"MES",2,"AÑO",2006)</f>
        <v>236296</v>
      </c>
      <c r="K68" s="129">
        <f>GETPIVOTDATA("  Total Extrahoteleros",'[1]Turistas zona y tipología'!$A$4,"MES",2,"AÑO",2006)</f>
        <v>185317</v>
      </c>
      <c r="L68" s="129">
        <f>GETPIVOTDATA(" TOTAL GENERAL",'[1]Turistas zona y tipología'!$A$4,"MES",2,"AÑO",2006)</f>
        <v>421613</v>
      </c>
    </row>
    <row r="69" spans="3:12" hidden="1" outlineLevel="1">
      <c r="C69" s="51" t="s">
        <v>48</v>
      </c>
      <c r="D69" s="129">
        <f>GETPIVOTDATA("dato",'[1]Turistas zona y tipología'!$I$4,"categoría","Hoteleros","mes",1,"año",2006)</f>
        <v>95674</v>
      </c>
      <c r="E69" s="129">
        <f>GETPIVOTDATA("dato",'[1]Turistas zona y tipología'!$I$4,"categoría","EXTRAHOTELEROS","mes",1,"año",2006)</f>
        <v>56994</v>
      </c>
      <c r="F69" s="129">
        <f>GETPIVOTDATA("dato",'[1]Turistas zona y tipología'!$I$4,"categoría","TOTAL","mes",1,"año",2006)</f>
        <v>152668</v>
      </c>
      <c r="G69" s="129">
        <f>GETPIVOTDATA("Hotel Sur",'[1]Turistas zona y tipología'!$A$4,"MES",1,"AÑO",2006)</f>
        <v>169771</v>
      </c>
      <c r="H69" s="129">
        <f>GETPIVOTDATA("Extrahotelera Sur",'[1]Turistas zona y tipología'!$A$4,"MES",1,"AÑO",2006)</f>
        <v>159303</v>
      </c>
      <c r="I69" s="129">
        <f>GETPIVOTDATA("Total Sur",'[1]Turistas zona y tipología'!$A$4,"MES",1,"AÑO",2006)</f>
        <v>329074</v>
      </c>
      <c r="J69" s="129">
        <f>GETPIVOTDATA("Total Hotel",'[1]Turistas zona y tipología'!$A$4,"MES",1,"AÑO",2006)</f>
        <v>233515</v>
      </c>
      <c r="K69" s="129">
        <f>GETPIVOTDATA("  Total Extrahoteleros",'[1]Turistas zona y tipología'!$A$4,"MES",1,"AÑO",2006)</f>
        <v>188191</v>
      </c>
      <c r="L69" s="129">
        <f>GETPIVOTDATA(" TOTAL GENERAL",'[1]Turistas zona y tipología'!$A$4,"MES",1,"AÑO",2006)</f>
        <v>421706</v>
      </c>
    </row>
    <row r="70" spans="3:12" collapsed="1">
      <c r="C70" s="134">
        <v>2006</v>
      </c>
      <c r="D70" s="135">
        <f>GETPIVOTDATA("dato",'[1]Turistas zona y tipología'!$I$4,"categoría","Hoteleros","año",2006)</f>
        <v>1222491</v>
      </c>
      <c r="E70" s="135">
        <f>GETPIVOTDATA("dato",'[1]Turistas zona y tipología'!$I$4,"categoría","EXTRAHOTELEROS","año",2006)</f>
        <v>708928</v>
      </c>
      <c r="F70" s="135">
        <f>GETPIVOTDATA("dato",'[1]Turistas zona y tipología'!$I$4,"categoría","TOTAL","año",2006)</f>
        <v>1931419</v>
      </c>
      <c r="G70" s="135">
        <f>GETPIVOTDATA("Hotel Sur",'[1]Turistas zona y tipología'!$A$4,"AÑO",2006)</f>
        <v>2205807</v>
      </c>
      <c r="H70" s="135">
        <f>GETPIVOTDATA("Extrahotelera Sur",'[1]Turistas zona y tipología'!$A$4,"AÑO",2006)</f>
        <v>1903103</v>
      </c>
      <c r="I70" s="135">
        <f>GETPIVOTDATA("Total Sur",'[1]Turistas zona y tipología'!$A$4,"AÑO",2006)</f>
        <v>4108910</v>
      </c>
      <c r="J70" s="135">
        <f>GETPIVOTDATA("Total Hotel",'[1]Turistas zona y tipología'!$A$4,"AÑO",2006)</f>
        <v>3144811</v>
      </c>
      <c r="K70" s="135">
        <f>GETPIVOTDATA("  Total Extrahoteleros",'[1]Turistas zona y tipología'!$A$4,"AÑO",2006)</f>
        <v>2306202</v>
      </c>
      <c r="L70" s="135">
        <f>GETPIVOTDATA(" TOTAL GENERAL",'[1]Turistas zona y tipología'!$A$4,"AÑO",2006)</f>
        <v>5451013</v>
      </c>
    </row>
    <row r="71" spans="3:12" hidden="1">
      <c r="C71" s="134">
        <v>1978</v>
      </c>
      <c r="D71" s="135" t="e">
        <f>GETPIVOTDATA("Hotel Norte",'[1]Turistas zona y tipología'!$A$4,"AÑO",1978)</f>
        <v>#REF!</v>
      </c>
      <c r="E71" s="135" t="e">
        <f>GETPIVOTDATA("Extrahotelera Norte",'[1]Turistas zona y tipología'!$A$4,"AÑO",1978)</f>
        <v>#REF!</v>
      </c>
      <c r="F71" s="135" t="e">
        <f>GETPIVOTDATA("Total Norte",'[1]Turistas zona y tipología'!$A$4,"AÑO",1978)</f>
        <v>#REF!</v>
      </c>
      <c r="G71" s="135" t="e">
        <f>GETPIVOTDATA("Hotel Sur",'[1]Turistas zona y tipología'!$A$4,"AÑO",1978)</f>
        <v>#REF!</v>
      </c>
      <c r="H71" s="135" t="e">
        <f>GETPIVOTDATA("Extrahotelera Sur",'[1]Turistas zona y tipología'!$A$4,"AÑO",1978)</f>
        <v>#REF!</v>
      </c>
      <c r="I71" s="135" t="e">
        <f>GETPIVOTDATA("Total Sur",'[1]Turistas zona y tipología'!$A$4,"AÑO",1978)</f>
        <v>#REF!</v>
      </c>
      <c r="J71" s="135" t="e">
        <f>GETPIVOTDATA("Total Hotel",'[1]Turistas zona y tipología'!$A$4,"AÑO",1978)</f>
        <v>#REF!</v>
      </c>
      <c r="K71" s="135" t="e">
        <f>GETPIVOTDATA("  Total Extrahoteleros",'[1]Turistas zona y tipología'!$A$4,"AÑO",1978)</f>
        <v>#REF!</v>
      </c>
      <c r="L71" s="135" t="e">
        <f>GETPIVOTDATA(" TOTAL GENERAL",'[1]Turistas zona y tipología'!$A$4,"AÑO",1978)</f>
        <v>#REF!</v>
      </c>
    </row>
    <row r="72" spans="3:12">
      <c r="C72" s="136" t="s">
        <v>77</v>
      </c>
      <c r="D72" s="137"/>
      <c r="E72" s="137"/>
      <c r="F72" s="137"/>
      <c r="G72" s="137"/>
      <c r="H72" s="137"/>
      <c r="I72" s="137"/>
      <c r="J72" s="137"/>
      <c r="K72" s="137"/>
      <c r="L72" s="138"/>
    </row>
  </sheetData>
  <mergeCells count="6">
    <mergeCell ref="C3:L3"/>
    <mergeCell ref="C4:C5"/>
    <mergeCell ref="D4:F4"/>
    <mergeCell ref="G4:I4"/>
    <mergeCell ref="J4:L4"/>
    <mergeCell ref="C72:L7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2:K58"/>
  <sheetViews>
    <sheetView showGridLines="0" showRowColHeaders="0" zoomScaleNormal="100" workbookViewId="0">
      <selection activeCell="B25" sqref="B25"/>
    </sheetView>
  </sheetViews>
  <sheetFormatPr baseColWidth="10" defaultRowHeight="15" outlineLevelRow="1"/>
  <cols>
    <col min="1" max="1" width="18" customWidth="1"/>
    <col min="3" max="11" width="13" customWidth="1"/>
  </cols>
  <sheetData>
    <row r="2" spans="2:11" ht="48.75" customHeight="1"/>
    <row r="3" spans="2:11" ht="31.5" customHeight="1">
      <c r="B3" s="122" t="s">
        <v>97</v>
      </c>
      <c r="C3" s="122"/>
      <c r="D3" s="122"/>
      <c r="E3" s="122"/>
      <c r="F3" s="122"/>
      <c r="G3" s="122"/>
      <c r="H3" s="122"/>
      <c r="I3" s="122"/>
      <c r="J3" s="122"/>
      <c r="K3" s="122"/>
    </row>
    <row r="4" spans="2:11" s="139" customFormat="1" ht="26.25" customHeight="1">
      <c r="B4" s="123"/>
      <c r="C4" s="124" t="s">
        <v>89</v>
      </c>
      <c r="D4" s="125"/>
      <c r="E4" s="125"/>
      <c r="F4" s="124" t="s">
        <v>92</v>
      </c>
      <c r="G4" s="125"/>
      <c r="H4" s="125"/>
      <c r="I4" s="124" t="s">
        <v>93</v>
      </c>
      <c r="J4" s="125"/>
      <c r="K4" s="125"/>
    </row>
    <row r="5" spans="2:11" s="139" customFormat="1" ht="30">
      <c r="B5" s="127"/>
      <c r="C5" s="128" t="s">
        <v>94</v>
      </c>
      <c r="D5" s="128" t="s">
        <v>95</v>
      </c>
      <c r="E5" s="128" t="s">
        <v>69</v>
      </c>
      <c r="F5" s="128" t="s">
        <v>94</v>
      </c>
      <c r="G5" s="128" t="s">
        <v>95</v>
      </c>
      <c r="H5" s="128" t="s">
        <v>69</v>
      </c>
      <c r="I5" s="128" t="s">
        <v>96</v>
      </c>
      <c r="J5" s="128" t="s">
        <v>95</v>
      </c>
      <c r="K5" s="128" t="s">
        <v>36</v>
      </c>
    </row>
    <row r="6" spans="2:11" hidden="1">
      <c r="B6" s="51" t="s">
        <v>37</v>
      </c>
      <c r="C6" s="140" t="str">
        <f>IFERROR('Tablas turistas zona y tip.'!D6/'Tablas turistas zona y tip.'!D19-1,"-")</f>
        <v>-</v>
      </c>
      <c r="D6" s="140" t="str">
        <f>IFERROR('Tablas turistas zona y tip.'!E6/'Tablas turistas zona y tip.'!E19-1,"-")</f>
        <v>-</v>
      </c>
      <c r="E6" s="140" t="str">
        <f>IFERROR('Tablas turistas zona y tip.'!F6/'Tablas turistas zona y tip.'!F19-1,"-")</f>
        <v>-</v>
      </c>
      <c r="F6" s="140" t="str">
        <f>IFERROR('Tablas turistas zona y tip.'!G6/'Tablas turistas zona y tip.'!G19-1,"-")</f>
        <v>-</v>
      </c>
      <c r="G6" s="140" t="str">
        <f>IFERROR('Tablas turistas zona y tip.'!H6/'Tablas turistas zona y tip.'!H19-1,"-")</f>
        <v>-</v>
      </c>
      <c r="H6" s="140" t="str">
        <f>IFERROR('Tablas turistas zona y tip.'!I6/'Tablas turistas zona y tip.'!I19-1,"-")</f>
        <v>-</v>
      </c>
      <c r="I6" s="140" t="str">
        <f>IFERROR('Tablas turistas zona y tip.'!J6/'Tablas turistas zona y tip.'!J19-1,"-")</f>
        <v>-</v>
      </c>
      <c r="J6" s="140" t="str">
        <f>IFERROR('Tablas turistas zona y tip.'!K6/'Tablas turistas zona y tip.'!K19-1,"-")</f>
        <v>-</v>
      </c>
      <c r="K6" s="140" t="str">
        <f>IFERROR('Tablas turistas zona y tip.'!L6/'Tablas turistas zona y tip.'!L19-1,"-")</f>
        <v>-</v>
      </c>
    </row>
    <row r="7" spans="2:11" hidden="1">
      <c r="B7" s="51" t="s">
        <v>38</v>
      </c>
      <c r="C7" s="140" t="str">
        <f>IFERROR('Tablas turistas zona y tip.'!D7/'Tablas turistas zona y tip.'!D20-1,"-")</f>
        <v>-</v>
      </c>
      <c r="D7" s="140" t="str">
        <f>IFERROR('Tablas turistas zona y tip.'!E7/'Tablas turistas zona y tip.'!E20-1,"-")</f>
        <v>-</v>
      </c>
      <c r="E7" s="140" t="str">
        <f>IFERROR('Tablas turistas zona y tip.'!F7/'Tablas turistas zona y tip.'!F20-1,"-")</f>
        <v>-</v>
      </c>
      <c r="F7" s="140" t="str">
        <f>IFERROR('Tablas turistas zona y tip.'!G7/'Tablas turistas zona y tip.'!G20-1,"-")</f>
        <v>-</v>
      </c>
      <c r="G7" s="140" t="str">
        <f>IFERROR('Tablas turistas zona y tip.'!H7/'Tablas turistas zona y tip.'!H20-1,"-")</f>
        <v>-</v>
      </c>
      <c r="H7" s="140" t="str">
        <f>IFERROR('Tablas turistas zona y tip.'!I7/'Tablas turistas zona y tip.'!I20-1,"-")</f>
        <v>-</v>
      </c>
      <c r="I7" s="140" t="str">
        <f>IFERROR('Tablas turistas zona y tip.'!J7/'Tablas turistas zona y tip.'!J20-1,"-")</f>
        <v>-</v>
      </c>
      <c r="J7" s="140" t="str">
        <f>IFERROR('Tablas turistas zona y tip.'!K7/'Tablas turistas zona y tip.'!K20-1,"-")</f>
        <v>-</v>
      </c>
      <c r="K7" s="140" t="str">
        <f>IFERROR('Tablas turistas zona y tip.'!L7/'Tablas turistas zona y tip.'!L20-1,"-")</f>
        <v>-</v>
      </c>
    </row>
    <row r="8" spans="2:11" hidden="1">
      <c r="B8" s="51" t="s">
        <v>39</v>
      </c>
      <c r="C8" s="140" t="str">
        <f>IFERROR('Tablas turistas zona y tip.'!D8/'Tablas turistas zona y tip.'!D21-1,"-")</f>
        <v>-</v>
      </c>
      <c r="D8" s="140" t="str">
        <f>IFERROR('Tablas turistas zona y tip.'!E8/'Tablas turistas zona y tip.'!E21-1,"-")</f>
        <v>-</v>
      </c>
      <c r="E8" s="140" t="str">
        <f>IFERROR('Tablas turistas zona y tip.'!F8/'Tablas turistas zona y tip.'!F21-1,"-")</f>
        <v>-</v>
      </c>
      <c r="F8" s="140" t="str">
        <f>IFERROR('Tablas turistas zona y tip.'!G8/'Tablas turistas zona y tip.'!G21-1,"-")</f>
        <v>-</v>
      </c>
      <c r="G8" s="140" t="str">
        <f>IFERROR('Tablas turistas zona y tip.'!H8/'Tablas turistas zona y tip.'!H21-1,"-")</f>
        <v>-</v>
      </c>
      <c r="H8" s="140" t="str">
        <f>IFERROR('Tablas turistas zona y tip.'!I8/'Tablas turistas zona y tip.'!I21-1,"-")</f>
        <v>-</v>
      </c>
      <c r="I8" s="140" t="str">
        <f>IFERROR('Tablas turistas zona y tip.'!J8/'Tablas turistas zona y tip.'!J21-1,"-")</f>
        <v>-</v>
      </c>
      <c r="J8" s="140" t="str">
        <f>IFERROR('Tablas turistas zona y tip.'!K8/'Tablas turistas zona y tip.'!K21-1,"-")</f>
        <v>-</v>
      </c>
      <c r="K8" s="140" t="str">
        <f>IFERROR('Tablas turistas zona y tip.'!L8/'Tablas turistas zona y tip.'!L21-1,"-")</f>
        <v>-</v>
      </c>
    </row>
    <row r="9" spans="2:11" hidden="1">
      <c r="B9" s="51" t="s">
        <v>40</v>
      </c>
      <c r="C9" s="140" t="str">
        <f>IFERROR('Tablas turistas zona y tip.'!D9/'Tablas turistas zona y tip.'!D22-1,"-")</f>
        <v>-</v>
      </c>
      <c r="D9" s="140" t="str">
        <f>IFERROR('Tablas turistas zona y tip.'!E9/'Tablas turistas zona y tip.'!E22-1,"-")</f>
        <v>-</v>
      </c>
      <c r="E9" s="140" t="str">
        <f>IFERROR('Tablas turistas zona y tip.'!F9/'Tablas turistas zona y tip.'!F22-1,"-")</f>
        <v>-</v>
      </c>
      <c r="F9" s="140" t="str">
        <f>IFERROR('Tablas turistas zona y tip.'!G9/'Tablas turistas zona y tip.'!G22-1,"-")</f>
        <v>-</v>
      </c>
      <c r="G9" s="140" t="str">
        <f>IFERROR('Tablas turistas zona y tip.'!H9/'Tablas turistas zona y tip.'!H22-1,"-")</f>
        <v>-</v>
      </c>
      <c r="H9" s="140" t="str">
        <f>IFERROR('Tablas turistas zona y tip.'!I9/'Tablas turistas zona y tip.'!I22-1,"-")</f>
        <v>-</v>
      </c>
      <c r="I9" s="140" t="str">
        <f>IFERROR('Tablas turistas zona y tip.'!J9/'Tablas turistas zona y tip.'!J22-1,"-")</f>
        <v>-</v>
      </c>
      <c r="J9" s="140" t="str">
        <f>IFERROR('Tablas turistas zona y tip.'!K9/'Tablas turistas zona y tip.'!K22-1,"-")</f>
        <v>-</v>
      </c>
      <c r="K9" s="140" t="str">
        <f>IFERROR('Tablas turistas zona y tip.'!L9/'Tablas turistas zona y tip.'!L22-1,"-")</f>
        <v>-</v>
      </c>
    </row>
    <row r="10" spans="2:11" hidden="1">
      <c r="B10" s="51" t="s">
        <v>41</v>
      </c>
      <c r="C10" s="140" t="str">
        <f>IFERROR('Tablas turistas zona y tip.'!D10/'Tablas turistas zona y tip.'!D23-1,"-")</f>
        <v>-</v>
      </c>
      <c r="D10" s="140" t="str">
        <f>IFERROR('Tablas turistas zona y tip.'!E10/'Tablas turistas zona y tip.'!E23-1,"-")</f>
        <v>-</v>
      </c>
      <c r="E10" s="140" t="str">
        <f>IFERROR('Tablas turistas zona y tip.'!F10/'Tablas turistas zona y tip.'!F23-1,"-")</f>
        <v>-</v>
      </c>
      <c r="F10" s="140" t="str">
        <f>IFERROR('Tablas turistas zona y tip.'!G10/'Tablas turistas zona y tip.'!G23-1,"-")</f>
        <v>-</v>
      </c>
      <c r="G10" s="140" t="str">
        <f>IFERROR('Tablas turistas zona y tip.'!H10/'Tablas turistas zona y tip.'!H23-1,"-")</f>
        <v>-</v>
      </c>
      <c r="H10" s="140" t="str">
        <f>IFERROR('Tablas turistas zona y tip.'!I10/'Tablas turistas zona y tip.'!I23-1,"-")</f>
        <v>-</v>
      </c>
      <c r="I10" s="140" t="str">
        <f>IFERROR('Tablas turistas zona y tip.'!J10/'Tablas turistas zona y tip.'!J23-1,"-")</f>
        <v>-</v>
      </c>
      <c r="J10" s="140" t="str">
        <f>IFERROR('Tablas turistas zona y tip.'!K10/'Tablas turistas zona y tip.'!K23-1,"-")</f>
        <v>-</v>
      </c>
      <c r="K10" s="140" t="str">
        <f>IFERROR('Tablas turistas zona y tip.'!L10/'Tablas turistas zona y tip.'!L23-1,"-")</f>
        <v>-</v>
      </c>
    </row>
    <row r="11" spans="2:11">
      <c r="B11" s="51" t="s">
        <v>42</v>
      </c>
      <c r="C11" s="140">
        <f>IFERROR('Tablas turistas zona y tip.'!D11/'Tablas turistas zona y tip.'!D24-1,"-")</f>
        <v>6.8033046373170647E-2</v>
      </c>
      <c r="D11" s="140">
        <f>IFERROR('Tablas turistas zona y tip.'!E11/'Tablas turistas zona y tip.'!E24-1,"-")</f>
        <v>8.044624970133607E-2</v>
      </c>
      <c r="E11" s="140">
        <f>IFERROR('Tablas turistas zona y tip.'!F11/'Tablas turistas zona y tip.'!F24-1,"-")</f>
        <v>7.2466717432975392E-2</v>
      </c>
      <c r="F11" s="140">
        <f>IFERROR('Tablas turistas zona y tip.'!G11/'Tablas turistas zona y tip.'!G24-1,"-")</f>
        <v>8.5665019940548648E-2</v>
      </c>
      <c r="G11" s="140">
        <f>IFERROR('Tablas turistas zona y tip.'!H11/'Tablas turistas zona y tip.'!H24-1,"-")</f>
        <v>8.7540435912393244E-2</v>
      </c>
      <c r="H11" s="140">
        <f>IFERROR('Tablas turistas zona y tip.'!I11/'Tablas turistas zona y tip.'!I24-1,"-")</f>
        <v>8.6497331709412206E-2</v>
      </c>
      <c r="I11" s="140">
        <f>IFERROR('Tablas turistas zona y tip.'!J11/'Tablas turistas zona y tip.'!J24-1,"-")</f>
        <v>3.7779213406158751E-2</v>
      </c>
      <c r="J11" s="140">
        <f>IFERROR('Tablas turistas zona y tip.'!K11/'Tablas turistas zona y tip.'!K24-1,"-")</f>
        <v>4.1473236758208021E-2</v>
      </c>
      <c r="K11" s="140">
        <f>IFERROR('Tablas turistas zona y tip.'!L11/'Tablas turistas zona y tip.'!L24-1,"-")</f>
        <v>3.9300314374877576E-2</v>
      </c>
    </row>
    <row r="12" spans="2:11">
      <c r="B12" s="51" t="s">
        <v>43</v>
      </c>
      <c r="C12" s="140">
        <f>IFERROR('Tablas turistas zona y tip.'!D12/'Tablas turistas zona y tip.'!D25-1,"-")</f>
        <v>7.9757521104180773E-2</v>
      </c>
      <c r="D12" s="140">
        <f>IFERROR('Tablas turistas zona y tip.'!E12/'Tablas turistas zona y tip.'!E25-1,"-")</f>
        <v>2.748826573594898E-2</v>
      </c>
      <c r="E12" s="140">
        <f>IFERROR('Tablas turistas zona y tip.'!F12/'Tablas turistas zona y tip.'!F25-1,"-")</f>
        <v>6.1868239597320906E-2</v>
      </c>
      <c r="F12" s="140">
        <f>IFERROR('Tablas turistas zona y tip.'!G12/'Tablas turistas zona y tip.'!G25-1,"-")</f>
        <v>7.6516794804327937E-2</v>
      </c>
      <c r="G12" s="140">
        <f>IFERROR('Tablas turistas zona y tip.'!H12/'Tablas turistas zona y tip.'!H25-1,"-")</f>
        <v>7.828601282698E-2</v>
      </c>
      <c r="H12" s="140">
        <f>IFERROR('Tablas turistas zona y tip.'!I12/'Tablas turistas zona y tip.'!I25-1,"-")</f>
        <v>7.7252865034215468E-2</v>
      </c>
      <c r="I12" s="140">
        <f>IFERROR('Tablas turistas zona y tip.'!J12/'Tablas turistas zona y tip.'!J25-1,"-")</f>
        <v>8.0190908452846044E-2</v>
      </c>
      <c r="J12" s="140">
        <f>IFERROR('Tablas turistas zona y tip.'!K12/'Tablas turistas zona y tip.'!K25-1,"-")</f>
        <v>5.8372446618628837E-2</v>
      </c>
      <c r="K12" s="140">
        <f>IFERROR('Tablas turistas zona y tip.'!L12/'Tablas turistas zona y tip.'!L25-1,"-")</f>
        <v>7.1700518496075505E-2</v>
      </c>
    </row>
    <row r="13" spans="2:11">
      <c r="B13" s="51" t="s">
        <v>44</v>
      </c>
      <c r="C13" s="140">
        <f>IFERROR('Tablas turistas zona y tip.'!D13/'Tablas turistas zona y tip.'!D26-1,"-")</f>
        <v>9.8476314697337974E-2</v>
      </c>
      <c r="D13" s="140">
        <f>IFERROR('Tablas turistas zona y tip.'!E13/'Tablas turistas zona y tip.'!E26-1,"-")</f>
        <v>8.318584070796442E-3</v>
      </c>
      <c r="E13" s="140">
        <f>IFERROR('Tablas turistas zona y tip.'!F13/'Tablas turistas zona y tip.'!F26-1,"-")</f>
        <v>6.9693667514227009E-2</v>
      </c>
      <c r="F13" s="140">
        <f>IFERROR('Tablas turistas zona y tip.'!G13/'Tablas turistas zona y tip.'!G26-1,"-")</f>
        <v>8.8471044645371144E-2</v>
      </c>
      <c r="G13" s="140">
        <f>IFERROR('Tablas turistas zona y tip.'!H13/'Tablas turistas zona y tip.'!H26-1,"-")</f>
        <v>-2.5118603099013259E-2</v>
      </c>
      <c r="H13" s="140">
        <f>IFERROR('Tablas turistas zona y tip.'!I13/'Tablas turistas zona y tip.'!I26-1,"-")</f>
        <v>4.1944814898278171E-2</v>
      </c>
      <c r="I13" s="140">
        <f>IFERROR('Tablas turistas zona y tip.'!J13/'Tablas turistas zona y tip.'!J26-1,"-")</f>
        <v>7.4694167065846306E-2</v>
      </c>
      <c r="J13" s="140">
        <f>IFERROR('Tablas turistas zona y tip.'!K13/'Tablas turistas zona y tip.'!K26-1,"-")</f>
        <v>-3.9142219986334381E-2</v>
      </c>
      <c r="K13" s="140">
        <f>IFERROR('Tablas turistas zona y tip.'!L13/'Tablas turistas zona y tip.'!L26-1,"-")</f>
        <v>3.1413702243550334E-2</v>
      </c>
    </row>
    <row r="14" spans="2:11">
      <c r="B14" s="51" t="s">
        <v>45</v>
      </c>
      <c r="C14" s="140">
        <f>IFERROR('Tablas turistas zona y tip.'!D14/'Tablas turistas zona y tip.'!D27-1,"-")</f>
        <v>0.12873036074782762</v>
      </c>
      <c r="D14" s="140">
        <f>IFERROR('Tablas turistas zona y tip.'!E14/'Tablas turistas zona y tip.'!E27-1,"-")</f>
        <v>3.5676425804213263E-2</v>
      </c>
      <c r="E14" s="140">
        <f>IFERROR('Tablas turistas zona y tip.'!F14/'Tablas turistas zona y tip.'!F27-1,"-")</f>
        <v>9.4975074636257428E-2</v>
      </c>
      <c r="F14" s="140">
        <f>IFERROR('Tablas turistas zona y tip.'!G14/'Tablas turistas zona y tip.'!G27-1,"-")</f>
        <v>7.1880300657349183E-2</v>
      </c>
      <c r="G14" s="140">
        <f>IFERROR('Tablas turistas zona y tip.'!H14/'Tablas turistas zona y tip.'!H27-1,"-")</f>
        <v>2.3965611432186007E-2</v>
      </c>
      <c r="H14" s="140">
        <f>IFERROR('Tablas turistas zona y tip.'!I14/'Tablas turistas zona y tip.'!I27-1,"-")</f>
        <v>5.1284586506820773E-2</v>
      </c>
      <c r="I14" s="140">
        <f>IFERROR('Tablas turistas zona y tip.'!J14/'Tablas turistas zona y tip.'!J27-1,"-")</f>
        <v>2.3258754633178613E-2</v>
      </c>
      <c r="J14" s="140">
        <f>IFERROR('Tablas turistas zona y tip.'!K14/'Tablas turistas zona y tip.'!K27-1,"-")</f>
        <v>-1.0685518008756389E-2</v>
      </c>
      <c r="K14" s="140">
        <f>IFERROR('Tablas turistas zona y tip.'!L14/'Tablas turistas zona y tip.'!L27-1,"-")</f>
        <v>9.8439404440409106E-3</v>
      </c>
    </row>
    <row r="15" spans="2:11">
      <c r="B15" s="51" t="s">
        <v>46</v>
      </c>
      <c r="C15" s="140">
        <f>IFERROR('Tablas turistas zona y tip.'!D15/'Tablas turistas zona y tip.'!D28-1,"-")</f>
        <v>6.4007235907013849E-2</v>
      </c>
      <c r="D15" s="140">
        <f>IFERROR('Tablas turistas zona y tip.'!E15/'Tablas turistas zona y tip.'!E28-1,"-")</f>
        <v>-3.8245895074089375E-3</v>
      </c>
      <c r="E15" s="140">
        <f>IFERROR('Tablas turistas zona y tip.'!F15/'Tablas turistas zona y tip.'!F28-1,"-")</f>
        <v>3.8927675074590384E-2</v>
      </c>
      <c r="F15" s="140">
        <f>IFERROR('Tablas turistas zona y tip.'!G15/'Tablas turistas zona y tip.'!G28-1,"-")</f>
        <v>7.4219887411433483E-2</v>
      </c>
      <c r="G15" s="140">
        <f>IFERROR('Tablas turistas zona y tip.'!H15/'Tablas turistas zona y tip.'!H28-1,"-")</f>
        <v>-6.6434668417596821E-2</v>
      </c>
      <c r="H15" s="140">
        <f>IFERROR('Tablas turistas zona y tip.'!I15/'Tablas turistas zona y tip.'!I28-1,"-")</f>
        <v>6.6751169800849386E-3</v>
      </c>
      <c r="I15" s="140">
        <f>IFERROR('Tablas turistas zona y tip.'!J15/'Tablas turistas zona y tip.'!J28-1,"-")</f>
        <v>4.2557999070103048E-2</v>
      </c>
      <c r="J15" s="140">
        <f>IFERROR('Tablas turistas zona y tip.'!K15/'Tablas turistas zona y tip.'!K28-1,"-")</f>
        <v>-8.3294773519163812E-2</v>
      </c>
      <c r="K15" s="140">
        <f>IFERROR('Tablas turistas zona y tip.'!L15/'Tablas turistas zona y tip.'!L28-1,"-")</f>
        <v>-1.2568741025816399E-2</v>
      </c>
    </row>
    <row r="16" spans="2:11">
      <c r="B16" s="51" t="s">
        <v>47</v>
      </c>
      <c r="C16" s="140">
        <f>IFERROR('Tablas turistas zona y tip.'!D16/'Tablas turistas zona y tip.'!D29-1,"-")</f>
        <v>-2.1066828994640741E-2</v>
      </c>
      <c r="D16" s="140">
        <f>IFERROR('Tablas turistas zona y tip.'!E16/'Tablas turistas zona y tip.'!E29-1,"-")</f>
        <v>-0.13213093119513708</v>
      </c>
      <c r="E16" s="140">
        <f>IFERROR('Tablas turistas zona y tip.'!F16/'Tablas turistas zona y tip.'!F29-1,"-")</f>
        <v>-6.2582217172925114E-2</v>
      </c>
      <c r="F16" s="140">
        <f>IFERROR('Tablas turistas zona y tip.'!G16/'Tablas turistas zona y tip.'!G29-1,"-")</f>
        <v>-3.8134751068269468E-3</v>
      </c>
      <c r="G16" s="140">
        <f>IFERROR('Tablas turistas zona y tip.'!H16/'Tablas turistas zona y tip.'!H29-1,"-")</f>
        <v>-8.9041341390854289E-2</v>
      </c>
      <c r="H16" s="140">
        <f>IFERROR('Tablas turistas zona y tip.'!I16/'Tablas turistas zona y tip.'!I29-1,"-")</f>
        <v>-4.337698208016505E-2</v>
      </c>
      <c r="I16" s="140">
        <f>IFERROR('Tablas turistas zona y tip.'!J16/'Tablas turistas zona y tip.'!J29-1,"-")</f>
        <v>-2.9079766111128613E-3</v>
      </c>
      <c r="J16" s="140">
        <f>IFERROR('Tablas turistas zona y tip.'!K16/'Tablas turistas zona y tip.'!K29-1,"-")</f>
        <v>-9.5130321862535894E-2</v>
      </c>
      <c r="K16" s="140">
        <f>IFERROR('Tablas turistas zona y tip.'!L16/'Tablas turistas zona y tip.'!L29-1,"-")</f>
        <v>-4.1586484846284355E-2</v>
      </c>
    </row>
    <row r="17" spans="2:11">
      <c r="B17" s="51" t="s">
        <v>48</v>
      </c>
      <c r="C17" s="140">
        <f>IFERROR('Tablas turistas zona y tip.'!D17/'Tablas turistas zona y tip.'!D30-1,"-")</f>
        <v>2.3701977367194482E-2</v>
      </c>
      <c r="D17" s="140">
        <f>IFERROR('Tablas turistas zona y tip.'!E17/'Tablas turistas zona y tip.'!E30-1,"-")</f>
        <v>-0.12767880682460175</v>
      </c>
      <c r="E17" s="140">
        <f>IFERROR('Tablas turistas zona y tip.'!F17/'Tablas turistas zona y tip.'!F30-1,"-")</f>
        <v>-3.5256410256410242E-2</v>
      </c>
      <c r="F17" s="140">
        <f>IFERROR('Tablas turistas zona y tip.'!G17/'Tablas turistas zona y tip.'!G30-1,"-")</f>
        <v>7.9120822256288914E-2</v>
      </c>
      <c r="G17" s="140">
        <f>IFERROR('Tablas turistas zona y tip.'!H17/'Tablas turistas zona y tip.'!H30-1,"-")</f>
        <v>-7.1357075305633622E-2</v>
      </c>
      <c r="H17" s="140">
        <f>IFERROR('Tablas turistas zona y tip.'!I17/'Tablas turistas zona y tip.'!I30-1,"-")</f>
        <v>6.3280149067328484E-3</v>
      </c>
      <c r="I17" s="140">
        <f>IFERROR('Tablas turistas zona y tip.'!J17/'Tablas turistas zona y tip.'!J30-1,"-")</f>
        <v>6.5757898005853521E-2</v>
      </c>
      <c r="J17" s="140">
        <f>IFERROR('Tablas turistas zona y tip.'!K17/'Tablas turistas zona y tip.'!K30-1,"-")</f>
        <v>-7.4122514981451504E-2</v>
      </c>
      <c r="K17" s="140">
        <f>IFERROR('Tablas turistas zona y tip.'!L17/'Tablas turistas zona y tip.'!L30-1,"-")</f>
        <v>3.9581855908386032E-3</v>
      </c>
    </row>
    <row r="18" spans="2:11" ht="30">
      <c r="B18" s="141" t="s">
        <v>54</v>
      </c>
      <c r="C18" s="142">
        <f>IFERROR(('Tablas turistas zona y tip.'!D15+'Tablas turistas zona y tip.'!D16+'Tablas turistas zona y tip.'!D17+'Tablas turistas zona y tip.'!D14+'Tablas turistas zona y tip.'!D13+'Tablas turistas zona y tip.'!D12+'Tablas turistas zona y tip.'!D11)/('Tablas turistas zona y tip.'!D28+'Tablas turistas zona y tip.'!D29+'Tablas turistas zona y tip.'!D30+'Tablas turistas zona y tip.'!D27+'Tablas turistas zona y tip.'!D26+'Tablas turistas zona y tip.'!D25+'Tablas turistas zona y tip.'!D24)-1,"-")</f>
        <v>6.3966184229217848E-2</v>
      </c>
      <c r="D18" s="142">
        <f>IFERROR(('Tablas turistas zona y tip.'!E15+'Tablas turistas zona y tip.'!E16+'Tablas turistas zona y tip.'!E17+'Tablas turistas zona y tip.'!E14+'Tablas turistas zona y tip.'!E13+'Tablas turistas zona y tip.'!E12+'Tablas turistas zona y tip.'!E11)/('Tablas turistas zona y tip.'!E28+'Tablas turistas zona y tip.'!E29+'Tablas turistas zona y tip.'!E30+'Tablas turistas zona y tip.'!E27+'Tablas turistas zona y tip.'!E26+'Tablas turistas zona y tip.'!E25+'Tablas turistas zona y tip.'!E24)-1,"-")</f>
        <v>-1.7271765949947171E-2</v>
      </c>
      <c r="E18" s="142">
        <f>IFERROR(('Tablas turistas zona y tip.'!F15+'Tablas turistas zona y tip.'!F16+'Tablas turistas zona y tip.'!F17+'Tablas turistas zona y tip.'!F14+'Tablas turistas zona y tip.'!F13+'Tablas turistas zona y tip.'!F12+'Tablas turistas zona y tip.'!F11)/('Tablas turistas zona y tip.'!F28+'Tablas turistas zona y tip.'!F29+'Tablas turistas zona y tip.'!F30+'Tablas turistas zona y tip.'!F27+'Tablas turistas zona y tip.'!F26+'Tablas turistas zona y tip.'!F25+'Tablas turistas zona y tip.'!F24)-1,"-")</f>
        <v>3.4725819854985795E-2</v>
      </c>
      <c r="F18" s="142">
        <f>IFERROR(('Tablas turistas zona y tip.'!G15+'Tablas turistas zona y tip.'!G16+'Tablas turistas zona y tip.'!G17+'Tablas turistas zona y tip.'!G14+'Tablas turistas zona y tip.'!G13+'Tablas turistas zona y tip.'!G12+'Tablas turistas zona y tip.'!G11)/('Tablas turistas zona y tip.'!G28+'Tablas turistas zona y tip.'!G29+'Tablas turistas zona y tip.'!G30+'Tablas turistas zona y tip.'!G27+'Tablas turistas zona y tip.'!G26+'Tablas turistas zona y tip.'!G25+'Tablas turistas zona y tip.'!G24)-1,"-")</f>
        <v>6.786026641406262E-2</v>
      </c>
      <c r="G18" s="142">
        <f>IFERROR(('Tablas turistas zona y tip.'!H15+'Tablas turistas zona y tip.'!H16+'Tablas turistas zona y tip.'!H17+'Tablas turistas zona y tip.'!H14+'Tablas turistas zona y tip.'!H13+'Tablas turistas zona y tip.'!H12+'Tablas turistas zona y tip.'!H11)/('Tablas turistas zona y tip.'!H28+'Tablas turistas zona y tip.'!H29+'Tablas turistas zona y tip.'!H30+'Tablas turistas zona y tip.'!H27+'Tablas turistas zona y tip.'!H26+'Tablas turistas zona y tip.'!H25+'Tablas turistas zona y tip.'!H24)-1,"-")</f>
        <v>-1.0996054914909736E-2</v>
      </c>
      <c r="H18" s="142">
        <f>IFERROR(('Tablas turistas zona y tip.'!I15+'Tablas turistas zona y tip.'!I16+'Tablas turistas zona y tip.'!I17+'Tablas turistas zona y tip.'!I14+'Tablas turistas zona y tip.'!I13+'Tablas turistas zona y tip.'!I12+'Tablas turistas zona y tip.'!I11)/('Tablas turistas zona y tip.'!I28+'Tablas turistas zona y tip.'!I29+'Tablas turistas zona y tip.'!I30+'Tablas turistas zona y tip.'!I27+'Tablas turistas zona y tip.'!I26+'Tablas turistas zona y tip.'!I25+'Tablas turistas zona y tip.'!I24)-1,"-")</f>
        <v>3.2548785410288383E-2</v>
      </c>
      <c r="I18" s="142">
        <f>IFERROR(('Tablas turistas zona y tip.'!J15+'Tablas turistas zona y tip.'!J16+'Tablas turistas zona y tip.'!J17+'Tablas turistas zona y tip.'!J14+'Tablas turistas zona y tip.'!J13+'Tablas turistas zona y tip.'!J12+'Tablas turistas zona y tip.'!J11)/('Tablas turistas zona y tip.'!J28+'Tablas turistas zona y tip.'!J29+'Tablas turistas zona y tip.'!J30+'Tablas turistas zona y tip.'!J27+'Tablas turistas zona y tip.'!J26+'Tablas turistas zona y tip.'!J25+'Tablas turistas zona y tip.'!J24)-1,"-")</f>
        <v>4.4841887633732203E-2</v>
      </c>
      <c r="J18" s="142">
        <f>IFERROR(('Tablas turistas zona y tip.'!K15+'Tablas turistas zona y tip.'!K16+'Tablas turistas zona y tip.'!K17+'Tablas turistas zona y tip.'!K14+'Tablas turistas zona y tip.'!K13+'Tablas turistas zona y tip.'!K12+'Tablas turistas zona y tip.'!K11)/('Tablas turistas zona y tip.'!K28+'Tablas turistas zona y tip.'!K29+'Tablas turistas zona y tip.'!K30+'Tablas turistas zona y tip.'!K27+'Tablas turistas zona y tip.'!K26+'Tablas turistas zona y tip.'!K25+'Tablas turistas zona y tip.'!K24)-1,"-")</f>
        <v>-3.0648143529965033E-2</v>
      </c>
      <c r="K18" s="142">
        <f>IFERROR(('Tablas turistas zona y tip.'!L15+'Tablas turistas zona y tip.'!L16+'Tablas turistas zona y tip.'!L17+'Tablas turistas zona y tip.'!L14+'Tablas turistas zona y tip.'!L13+'Tablas turistas zona y tip.'!L12+'Tablas turistas zona y tip.'!L11)/('Tablas turistas zona y tip.'!L28+'Tablas turistas zona y tip.'!L29+'Tablas turistas zona y tip.'!L30+'Tablas turistas zona y tip.'!L27+'Tablas turistas zona y tip.'!L26+'Tablas turistas zona y tip.'!L25+'Tablas turistas zona y tip.'!L24)-1,"-")</f>
        <v>1.3778881153530875E-2</v>
      </c>
    </row>
    <row r="19" spans="2:11" hidden="1" outlineLevel="1">
      <c r="B19" s="51" t="s">
        <v>37</v>
      </c>
      <c r="C19" s="140">
        <f>IFERROR('Tablas turistas zona y tip.'!D19/'Tablas turistas zona y tip.'!D32-1,"-")</f>
        <v>-2.4616760493940348E-2</v>
      </c>
      <c r="D19" s="140">
        <f>IFERROR('Tablas turistas zona y tip.'!E19/'Tablas turistas zona y tip.'!E32-1,"-")</f>
        <v>-0.13937562940584092</v>
      </c>
      <c r="E19" s="140">
        <f>IFERROR('Tablas turistas zona y tip.'!F19/'Tablas turistas zona y tip.'!F32-1,"-")</f>
        <v>-6.8806757290315268E-2</v>
      </c>
      <c r="F19" s="140">
        <f>IFERROR('Tablas turistas zona y tip.'!G19/'Tablas turistas zona y tip.'!G32-1,"-")</f>
        <v>-3.242814909633962E-3</v>
      </c>
      <c r="G19" s="140">
        <f>IFERROR('Tablas turistas zona y tip.'!H19/'Tablas turistas zona y tip.'!H32-1,"-")</f>
        <v>-0.11883724081853908</v>
      </c>
      <c r="H19" s="140">
        <f>IFERROR('Tablas turistas zona y tip.'!I19/'Tablas turistas zona y tip.'!I32-1,"-")</f>
        <v>-5.7984501099042185E-2</v>
      </c>
      <c r="I19" s="140">
        <f>IFERROR('Tablas turistas zona y tip.'!J19/'Tablas turistas zona y tip.'!J32-1,"-")</f>
        <v>-3.3555786120824771E-2</v>
      </c>
      <c r="J19" s="140">
        <f>IFERROR('Tablas turistas zona y tip.'!K19/'Tablas turistas zona y tip.'!K32-1,"-")</f>
        <v>-0.12401986408782018</v>
      </c>
      <c r="K19" s="140">
        <f>IFERROR('Tablas turistas zona y tip.'!L19/'Tablas turistas zona y tip.'!L32-1,"-")</f>
        <v>-7.2369046545247118E-2</v>
      </c>
    </row>
    <row r="20" spans="2:11" hidden="1" outlineLevel="1">
      <c r="B20" s="51" t="s">
        <v>38</v>
      </c>
      <c r="C20" s="140">
        <f>IFERROR('Tablas turistas zona y tip.'!D20/'Tablas turistas zona y tip.'!D33-1,"-")</f>
        <v>-8.5345371687758798E-2</v>
      </c>
      <c r="D20" s="140">
        <f>IFERROR('Tablas turistas zona y tip.'!E20/'Tablas turistas zona y tip.'!E33-1,"-")</f>
        <v>-0.18353622354485466</v>
      </c>
      <c r="E20" s="140">
        <f>IFERROR('Tablas turistas zona y tip.'!F20/'Tablas turistas zona y tip.'!F33-1,"-")</f>
        <v>-0.12197166849998664</v>
      </c>
      <c r="F20" s="140">
        <f>IFERROR('Tablas turistas zona y tip.'!G20/'Tablas turistas zona y tip.'!G33-1,"-")</f>
        <v>-6.8195669422628002E-2</v>
      </c>
      <c r="G20" s="140">
        <f>IFERROR('Tablas turistas zona y tip.'!H20/'Tablas turistas zona y tip.'!H33-1,"-")</f>
        <v>-0.2065359311420133</v>
      </c>
      <c r="H20" s="140">
        <f>IFERROR('Tablas turistas zona y tip.'!I20/'Tablas turistas zona y tip.'!I33-1,"-")</f>
        <v>-0.13399758818209229</v>
      </c>
      <c r="I20" s="140">
        <f>IFERROR('Tablas turistas zona y tip.'!J20/'Tablas turistas zona y tip.'!J33-1,"-")</f>
        <v>-8.5973989084342728E-2</v>
      </c>
      <c r="J20" s="140">
        <f>IFERROR('Tablas turistas zona y tip.'!K20/'Tablas turistas zona y tip.'!K33-1,"-")</f>
        <v>-0.2091200992957557</v>
      </c>
      <c r="K20" s="140">
        <f>IFERROR('Tablas turistas zona y tip.'!L20/'Tablas turistas zona y tip.'!L33-1,"-")</f>
        <v>-0.1388289248158614</v>
      </c>
    </row>
    <row r="21" spans="2:11" hidden="1" outlineLevel="1">
      <c r="B21" s="51" t="s">
        <v>39</v>
      </c>
      <c r="C21" s="140">
        <f>IFERROR('Tablas turistas zona y tip.'!D21/'Tablas turistas zona y tip.'!D34-1,"-")</f>
        <v>-7.3735443062917461E-2</v>
      </c>
      <c r="D21" s="140">
        <f>IFERROR('Tablas turistas zona y tip.'!E21/'Tablas turistas zona y tip.'!E34-1,"-")</f>
        <v>-0.12895071676987024</v>
      </c>
      <c r="E21" s="140">
        <f>IFERROR('Tablas turistas zona y tip.'!F21/'Tablas turistas zona y tip.'!F34-1,"-")</f>
        <v>-9.402092955130481E-2</v>
      </c>
      <c r="F21" s="140">
        <f>IFERROR('Tablas turistas zona y tip.'!G21/'Tablas turistas zona y tip.'!G34-1,"-")</f>
        <v>-2.8692766520481916E-2</v>
      </c>
      <c r="G21" s="140">
        <f>IFERROR('Tablas turistas zona y tip.'!H21/'Tablas turistas zona y tip.'!H34-1,"-")</f>
        <v>-9.3417444825801055E-2</v>
      </c>
      <c r="H21" s="140">
        <f>IFERROR('Tablas turistas zona y tip.'!I21/'Tablas turistas zona y tip.'!I34-1,"-")</f>
        <v>-5.8140177322597464E-2</v>
      </c>
      <c r="I21" s="140">
        <f>IFERROR('Tablas turistas zona y tip.'!J21/'Tablas turistas zona y tip.'!J34-1,"-")</f>
        <v>-6.9029966497084039E-2</v>
      </c>
      <c r="J21" s="140">
        <f>IFERROR('Tablas turistas zona y tip.'!K21/'Tablas turistas zona y tip.'!K34-1,"-")</f>
        <v>-0.10427843821513405</v>
      </c>
      <c r="K21" s="140">
        <f>IFERROR('Tablas turistas zona y tip.'!L21/'Tablas turistas zona y tip.'!L34-1,"-")</f>
        <v>-8.3705814324543937E-2</v>
      </c>
    </row>
    <row r="22" spans="2:11" hidden="1" outlineLevel="1">
      <c r="B22" s="51" t="s">
        <v>40</v>
      </c>
      <c r="C22" s="140">
        <f>IFERROR('Tablas turistas zona y tip.'!D22/'Tablas turistas zona y tip.'!D35-1,"-")</f>
        <v>-9.8988570391872255E-2</v>
      </c>
      <c r="D22" s="140">
        <f>IFERROR('Tablas turistas zona y tip.'!E22/'Tablas turistas zona y tip.'!E35-1,"-")</f>
        <v>-8.355669265756982E-2</v>
      </c>
      <c r="E22" s="140">
        <f>IFERROR('Tablas turistas zona y tip.'!F22/'Tablas turistas zona y tip.'!F35-1,"-")</f>
        <v>-9.3458963911525084E-2</v>
      </c>
      <c r="F22" s="140">
        <f>IFERROR('Tablas turistas zona y tip.'!G22/'Tablas turistas zona y tip.'!G35-1,"-")</f>
        <v>-6.2620156047583309E-2</v>
      </c>
      <c r="G22" s="140">
        <f>IFERROR('Tablas turistas zona y tip.'!H22/'Tablas turistas zona y tip.'!H35-1,"-")</f>
        <v>-3.2667993585662858E-2</v>
      </c>
      <c r="H22" s="140">
        <f>IFERROR('Tablas turistas zona y tip.'!I22/'Tablas turistas zona y tip.'!I35-1,"-")</f>
        <v>-4.9940644316181615E-2</v>
      </c>
      <c r="I22" s="140">
        <f>IFERROR('Tablas turistas zona y tip.'!J22/'Tablas turistas zona y tip.'!J35-1,"-")</f>
        <v>-0.11000869814925029</v>
      </c>
      <c r="J22" s="140">
        <f>IFERROR('Tablas turistas zona y tip.'!K22/'Tablas turistas zona y tip.'!K35-1,"-")</f>
        <v>-7.0903771561709794E-2</v>
      </c>
      <c r="K22" s="140">
        <f>IFERROR('Tablas turistas zona y tip.'!L22/'Tablas turistas zona y tip.'!L35-1,"-")</f>
        <v>-9.4912854949036563E-2</v>
      </c>
    </row>
    <row r="23" spans="2:11" hidden="1" outlineLevel="1">
      <c r="B23" s="51" t="s">
        <v>41</v>
      </c>
      <c r="C23" s="140">
        <f>IFERROR('Tablas turistas zona y tip.'!D23/'Tablas turistas zona y tip.'!D36-1,"-")</f>
        <v>-0.10547251582869399</v>
      </c>
      <c r="D23" s="140">
        <f>IFERROR('Tablas turistas zona y tip.'!E23/'Tablas turistas zona y tip.'!E36-1,"-")</f>
        <v>-7.677843505949844E-2</v>
      </c>
      <c r="E23" s="140">
        <f>IFERROR('Tablas turistas zona y tip.'!F23/'Tablas turistas zona y tip.'!F36-1,"-")</f>
        <v>-9.4352067575186993E-2</v>
      </c>
      <c r="F23" s="140">
        <f>IFERROR('Tablas turistas zona y tip.'!G23/'Tablas turistas zona y tip.'!G36-1,"-")</f>
        <v>-7.6247904309725389E-2</v>
      </c>
      <c r="G23" s="140">
        <f>IFERROR('Tablas turistas zona y tip.'!H23/'Tablas turistas zona y tip.'!H36-1,"-")</f>
        <v>-9.8716661692487162E-2</v>
      </c>
      <c r="H23" s="140">
        <f>IFERROR('Tablas turistas zona y tip.'!I23/'Tablas turistas zona y tip.'!I36-1,"-")</f>
        <v>-8.6671936599684862E-2</v>
      </c>
      <c r="I23" s="140">
        <f>IFERROR('Tablas turistas zona y tip.'!J23/'Tablas turistas zona y tip.'!J36-1,"-")</f>
        <v>-0.10969000293227116</v>
      </c>
      <c r="J23" s="140">
        <f>IFERROR('Tablas turistas zona y tip.'!K23/'Tablas turistas zona y tip.'!K36-1,"-")</f>
        <v>-0.13446018769222678</v>
      </c>
      <c r="K23" s="140">
        <f>IFERROR('Tablas turistas zona y tip.'!L23/'Tablas turistas zona y tip.'!L36-1,"-")</f>
        <v>-0.12032194672458696</v>
      </c>
    </row>
    <row r="24" spans="2:11" hidden="1" outlineLevel="1">
      <c r="B24" s="51" t="s">
        <v>42</v>
      </c>
      <c r="C24" s="140">
        <f>IFERROR('Tablas turistas zona y tip.'!D24/'Tablas turistas zona y tip.'!D37-1,"-")</f>
        <v>-4.6662642626270512E-2</v>
      </c>
      <c r="D24" s="140">
        <f>IFERROR('Tablas turistas zona y tip.'!E24/'Tablas turistas zona y tip.'!E37-1,"-")</f>
        <v>-7.0836962276072835E-2</v>
      </c>
      <c r="E24" s="140">
        <f>IFERROR('Tablas turistas zona y tip.'!F24/'Tablas turistas zona y tip.'!F37-1,"-")</f>
        <v>-5.5440154272568876E-2</v>
      </c>
      <c r="F24" s="140">
        <f>IFERROR('Tablas turistas zona y tip.'!G24/'Tablas turistas zona y tip.'!G37-1,"-")</f>
        <v>-3.644508773628663E-2</v>
      </c>
      <c r="G24" s="140">
        <f>IFERROR('Tablas turistas zona y tip.'!H24/'Tablas turistas zona y tip.'!H37-1,"-")</f>
        <v>-2.3143171663536855E-2</v>
      </c>
      <c r="H24" s="140">
        <f>IFERROR('Tablas turistas zona y tip.'!I24/'Tablas turistas zona y tip.'!I37-1,"-")</f>
        <v>-3.0586665069600727E-2</v>
      </c>
      <c r="I24" s="140">
        <f>IFERROR('Tablas turistas zona y tip.'!J24/'Tablas turistas zona y tip.'!J37-1,"-")</f>
        <v>-7.7880393969152584E-2</v>
      </c>
      <c r="J24" s="140">
        <f>IFERROR('Tablas turistas zona y tip.'!K24/'Tablas turistas zona y tip.'!K37-1,"-")</f>
        <v>-6.1711160908742624E-2</v>
      </c>
      <c r="K24" s="140">
        <f>IFERROR('Tablas turistas zona y tip.'!L24/'Tablas turistas zona y tip.'!L37-1,"-")</f>
        <v>-7.129030533126568E-2</v>
      </c>
    </row>
    <row r="25" spans="2:11" hidden="1" outlineLevel="1">
      <c r="B25" s="51" t="s">
        <v>43</v>
      </c>
      <c r="C25" s="140">
        <f>IFERROR('Tablas turistas zona y tip.'!D25/'Tablas turistas zona y tip.'!D38-1,"-")</f>
        <v>-0.19139972250635506</v>
      </c>
      <c r="D25" s="140">
        <f>IFERROR('Tablas turistas zona y tip.'!E25/'Tablas turistas zona y tip.'!E38-1,"-")</f>
        <v>-0.12760908823652939</v>
      </c>
      <c r="E25" s="140">
        <f>IFERROR('Tablas turistas zona y tip.'!F25/'Tablas turistas zona y tip.'!F38-1,"-")</f>
        <v>-0.17064422019226166</v>
      </c>
      <c r="F25" s="140">
        <f>IFERROR('Tablas turistas zona y tip.'!G25/'Tablas turistas zona y tip.'!G38-1,"-")</f>
        <v>-0.10916606161779585</v>
      </c>
      <c r="G25" s="140">
        <f>IFERROR('Tablas turistas zona y tip.'!H25/'Tablas turistas zona y tip.'!H38-1,"-")</f>
        <v>-0.13443216017714299</v>
      </c>
      <c r="H25" s="140">
        <f>IFERROR('Tablas turistas zona y tip.'!I25/'Tablas turistas zona y tip.'!I38-1,"-")</f>
        <v>-0.11985486929990929</v>
      </c>
      <c r="I25" s="140">
        <f>IFERROR('Tablas turistas zona y tip.'!J25/'Tablas turistas zona y tip.'!J38-1,"-")</f>
        <v>-0.12861860882328957</v>
      </c>
      <c r="J25" s="140">
        <f>IFERROR('Tablas turistas zona y tip.'!K25/'Tablas turistas zona y tip.'!K38-1,"-")</f>
        <v>-0.13379058477708994</v>
      </c>
      <c r="K25" s="140">
        <f>IFERROR('Tablas turistas zona y tip.'!L25/'Tablas turistas zona y tip.'!L38-1,"-")</f>
        <v>-0.13063854424733679</v>
      </c>
    </row>
    <row r="26" spans="2:11" hidden="1" outlineLevel="1">
      <c r="B26" s="51" t="s">
        <v>44</v>
      </c>
      <c r="C26" s="140">
        <f>IFERROR('Tablas turistas zona y tip.'!D26/'Tablas turistas zona y tip.'!D39-1,"-")</f>
        <v>-0.18716386838097809</v>
      </c>
      <c r="D26" s="140">
        <f>IFERROR('Tablas turistas zona y tip.'!E26/'Tablas turistas zona y tip.'!E39-1,"-")</f>
        <v>-0.20504110470141301</v>
      </c>
      <c r="E26" s="140">
        <f>IFERROR('Tablas turistas zona y tip.'!F26/'Tablas turistas zona y tip.'!F39-1,"-")</f>
        <v>-0.19295788410800951</v>
      </c>
      <c r="F26" s="140">
        <f>IFERROR('Tablas turistas zona y tip.'!G26/'Tablas turistas zona y tip.'!G39-1,"-")</f>
        <v>-0.13169504601910309</v>
      </c>
      <c r="G26" s="140">
        <f>IFERROR('Tablas turistas zona y tip.'!H26/'Tablas turistas zona y tip.'!H39-1,"-")</f>
        <v>-0.10598461513651247</v>
      </c>
      <c r="H26" s="140">
        <f>IFERROR('Tablas turistas zona y tip.'!I26/'Tablas turistas zona y tip.'!I39-1,"-")</f>
        <v>-0.12134501025734246</v>
      </c>
      <c r="I26" s="140">
        <f>IFERROR('Tablas turistas zona y tip.'!J26/'Tablas turistas zona y tip.'!J39-1,"-")</f>
        <v>-0.15982555057214609</v>
      </c>
      <c r="J26" s="140">
        <f>IFERROR('Tablas turistas zona y tip.'!K26/'Tablas turistas zona y tip.'!K39-1,"-")</f>
        <v>-0.13950197710180134</v>
      </c>
      <c r="K26" s="140">
        <f>IFERROR('Tablas turistas zona y tip.'!L26/'Tablas turistas zona y tip.'!L39-1,"-")</f>
        <v>-0.152212689231216</v>
      </c>
    </row>
    <row r="27" spans="2:11" hidden="1" outlineLevel="1">
      <c r="B27" s="51" t="s">
        <v>45</v>
      </c>
      <c r="C27" s="140">
        <f>IFERROR('Tablas turistas zona y tip.'!D27/'Tablas turistas zona y tip.'!D40-1,"-")</f>
        <v>-0.11129312194075547</v>
      </c>
      <c r="D27" s="140">
        <f>IFERROR('Tablas turistas zona y tip.'!E27/'Tablas turistas zona y tip.'!E40-1,"-")</f>
        <v>8.1416135551064528E-3</v>
      </c>
      <c r="E27" s="140">
        <f>IFERROR('Tablas turistas zona y tip.'!F27/'Tablas turistas zona y tip.'!F40-1,"-")</f>
        <v>-7.1385905909545411E-2</v>
      </c>
      <c r="F27" s="140">
        <f>IFERROR('Tablas turistas zona y tip.'!G27/'Tablas turistas zona y tip.'!G40-1,"-")</f>
        <v>5.1529825746392532E-3</v>
      </c>
      <c r="G27" s="140">
        <f>IFERROR('Tablas turistas zona y tip.'!H27/'Tablas turistas zona y tip.'!H40-1,"-")</f>
        <v>4.2262595991758856E-2</v>
      </c>
      <c r="H27" s="140">
        <f>IFERROR('Tablas turistas zona y tip.'!I27/'Tablas turistas zona y tip.'!I40-1,"-")</f>
        <v>2.077537863734702E-2</v>
      </c>
      <c r="I27" s="140">
        <f>IFERROR('Tablas turistas zona y tip.'!J27/'Tablas turistas zona y tip.'!J40-1,"-")</f>
        <v>-3.1596912633024998E-2</v>
      </c>
      <c r="J27" s="140">
        <f>IFERROR('Tablas turistas zona y tip.'!K27/'Tablas turistas zona y tip.'!K40-1,"-")</f>
        <v>1.3315685301272806E-2</v>
      </c>
      <c r="K27" s="140">
        <f>IFERROR('Tablas turistas zona y tip.'!L27/'Tablas turistas zona y tip.'!L40-1,"-")</f>
        <v>-1.4331682818470082E-2</v>
      </c>
    </row>
    <row r="28" spans="2:11" hidden="1" outlineLevel="1">
      <c r="B28" s="51" t="s">
        <v>46</v>
      </c>
      <c r="C28" s="140">
        <f>IFERROR('Tablas turistas zona y tip.'!D28/'Tablas turistas zona y tip.'!D41-1,"-")</f>
        <v>-0.2765521695531723</v>
      </c>
      <c r="D28" s="140">
        <f>IFERROR('Tablas turistas zona y tip.'!E28/'Tablas turistas zona y tip.'!E41-1,"-")</f>
        <v>-0.24072187675794021</v>
      </c>
      <c r="E28" s="140">
        <f>IFERROR('Tablas turistas zona y tip.'!F28/'Tablas turistas zona y tip.'!F41-1,"-")</f>
        <v>-0.2637055934411574</v>
      </c>
      <c r="F28" s="140">
        <f>IFERROR('Tablas turistas zona y tip.'!G28/'Tablas turistas zona y tip.'!G41-1,"-")</f>
        <v>-0.21107617502500564</v>
      </c>
      <c r="G28" s="140">
        <f>IFERROR('Tablas turistas zona y tip.'!H28/'Tablas turistas zona y tip.'!H41-1,"-")</f>
        <v>-0.14579290385542976</v>
      </c>
      <c r="H28" s="140">
        <f>IFERROR('Tablas turistas zona y tip.'!I28/'Tablas turistas zona y tip.'!I41-1,"-")</f>
        <v>-0.18101883294124943</v>
      </c>
      <c r="I28" s="140">
        <f>IFERROR('Tablas turistas zona y tip.'!J28/'Tablas turistas zona y tip.'!J41-1,"-")</f>
        <v>-0.2193959581295325</v>
      </c>
      <c r="J28" s="140">
        <f>IFERROR('Tablas turistas zona y tip.'!K28/'Tablas turistas zona y tip.'!K41-1,"-")</f>
        <v>-0.15892605113729608</v>
      </c>
      <c r="K28" s="140">
        <f>IFERROR('Tablas turistas zona y tip.'!L28/'Tablas turistas zona y tip.'!L41-1,"-")</f>
        <v>-0.19401357652194617</v>
      </c>
    </row>
    <row r="29" spans="2:11" hidden="1" outlineLevel="1">
      <c r="B29" s="51" t="s">
        <v>47</v>
      </c>
      <c r="C29" s="140">
        <f>IFERROR('Tablas turistas zona y tip.'!D29/'Tablas turistas zona y tip.'!D42-1,"-")</f>
        <v>-0.19842902383253125</v>
      </c>
      <c r="D29" s="140">
        <f>IFERROR('Tablas turistas zona y tip.'!E29/'Tablas turistas zona y tip.'!E42-1,"-")</f>
        <v>-0.215304473349756</v>
      </c>
      <c r="E29" s="140">
        <f>IFERROR('Tablas turistas zona y tip.'!F29/'Tablas turistas zona y tip.'!F42-1,"-")</f>
        <v>-0.20482128210919204</v>
      </c>
      <c r="F29" s="140">
        <f>IFERROR('Tablas turistas zona y tip.'!G29/'Tablas turistas zona y tip.'!G42-1,"-")</f>
        <v>-0.12846633936159269</v>
      </c>
      <c r="G29" s="140">
        <f>IFERROR('Tablas turistas zona y tip.'!H29/'Tablas turistas zona y tip.'!H42-1,"-")</f>
        <v>-0.19651527805777147</v>
      </c>
      <c r="H29" s="140">
        <f>IFERROR('Tablas turistas zona y tip.'!I29/'Tablas turistas zona y tip.'!I42-1,"-")</f>
        <v>-0.16143443949592029</v>
      </c>
      <c r="I29" s="140">
        <f>IFERROR('Tablas turistas zona y tip.'!J29/'Tablas turistas zona y tip.'!J42-1,"-")</f>
        <v>-0.14176892967908394</v>
      </c>
      <c r="J29" s="140">
        <f>IFERROR('Tablas turistas zona y tip.'!K29/'Tablas turistas zona y tip.'!K42-1,"-")</f>
        <v>-0.1876516418765164</v>
      </c>
      <c r="K29" s="140">
        <f>IFERROR('Tablas turistas zona y tip.'!L29/'Tablas turistas zona y tip.'!L42-1,"-")</f>
        <v>-0.16162881209259039</v>
      </c>
    </row>
    <row r="30" spans="2:11" hidden="1" outlineLevel="1">
      <c r="B30" s="51" t="s">
        <v>48</v>
      </c>
      <c r="C30" s="140">
        <f>IFERROR('Tablas turistas zona y tip.'!D30/'Tablas turistas zona y tip.'!D43-1,"-")</f>
        <v>-0.10150465211665916</v>
      </c>
      <c r="D30" s="140">
        <f>IFERROR('Tablas turistas zona y tip.'!E30/'Tablas turistas zona y tip.'!E43-1,"-")</f>
        <v>-2.5383132972377709E-2</v>
      </c>
      <c r="E30" s="140">
        <f>IFERROR('Tablas turistas zona y tip.'!F30/'Tablas turistas zona y tip.'!F43-1,"-")</f>
        <v>-7.3315616695325936E-2</v>
      </c>
      <c r="F30" s="140">
        <f>IFERROR('Tablas turistas zona y tip.'!G30/'Tablas turistas zona y tip.'!G43-1,"-")</f>
        <v>-9.0358681070394686E-2</v>
      </c>
      <c r="G30" s="140">
        <f>IFERROR('Tablas turistas zona y tip.'!H30/'Tablas turistas zona y tip.'!H43-1,"-")</f>
        <v>-3.3123779423227528E-4</v>
      </c>
      <c r="H30" s="140">
        <f>IFERROR('Tablas turistas zona y tip.'!I30/'Tablas turistas zona y tip.'!I43-1,"-")</f>
        <v>-4.892541930402361E-2</v>
      </c>
      <c r="I30" s="140">
        <f>IFERROR('Tablas turistas zona y tip.'!J30/'Tablas turistas zona y tip.'!J43-1,"-")</f>
        <v>-0.10720047050915815</v>
      </c>
      <c r="J30" s="140">
        <f>IFERROR('Tablas turistas zona y tip.'!K30/'Tablas turistas zona y tip.'!K43-1,"-")</f>
        <v>-2.0377736492979359E-2</v>
      </c>
      <c r="K30" s="140">
        <f>IFERROR('Tablas turistas zona y tip.'!L30/'Tablas turistas zona y tip.'!L43-1,"-")</f>
        <v>-7.081686992217151E-2</v>
      </c>
    </row>
    <row r="31" spans="2:11" collapsed="1">
      <c r="B31" s="132">
        <v>2009</v>
      </c>
      <c r="C31" s="143">
        <f>IFERROR('Tablas turistas zona y tip.'!D31/'Tablas turistas zona y tip.'!D44-1,"-")</f>
        <v>-0.12887218729694938</v>
      </c>
      <c r="D31" s="143">
        <f>IFERROR('Tablas turistas zona y tip.'!E31/'Tablas turistas zona y tip.'!E44-1,"-")</f>
        <v>-0.12608526876286319</v>
      </c>
      <c r="E31" s="143">
        <f>IFERROR('Tablas turistas zona y tip.'!F31/'Tablas turistas zona y tip.'!F44-1,"-")</f>
        <v>-0.12786598265284532</v>
      </c>
      <c r="F31" s="143">
        <f>IFERROR('Tablas turistas zona y tip.'!G31/'Tablas turistas zona y tip.'!G44-1,"-")</f>
        <v>-8.0244997330099266E-2</v>
      </c>
      <c r="G31" s="143">
        <f>IFERROR('Tablas turistas zona y tip.'!H31/'Tablas turistas zona y tip.'!H44-1,"-")</f>
        <v>-9.7092401709609755E-2</v>
      </c>
      <c r="H31" s="143">
        <f>IFERROR('Tablas turistas zona y tip.'!I31/'Tablas turistas zona y tip.'!I44-1,"-")</f>
        <v>-8.7824395023569757E-2</v>
      </c>
      <c r="I31" s="143">
        <f>IFERROR('Tablas turistas zona y tip.'!J31/'Tablas turistas zona y tip.'!J44-1,"-")</f>
        <v>-0.10789822844942742</v>
      </c>
      <c r="J31" s="143">
        <f>IFERROR('Tablas turistas zona y tip.'!K31/'Tablas turistas zona y tip.'!K44-1,"-")</f>
        <v>-0.11411270813365437</v>
      </c>
      <c r="K31" s="143">
        <f>IFERROR('Tablas turistas zona y tip.'!L31/'Tablas turistas zona y tip.'!L44-1,"-")</f>
        <v>-0.11045141390545221</v>
      </c>
    </row>
    <row r="32" spans="2:11" hidden="1" outlineLevel="1">
      <c r="B32" s="51" t="s">
        <v>37</v>
      </c>
      <c r="C32" s="140">
        <f>IFERROR('Tablas turistas zona y tip.'!D32/'Tablas turistas zona y tip.'!D45-1,"-")</f>
        <v>-7.730311878464724E-2</v>
      </c>
      <c r="D32" s="140">
        <f>IFERROR('Tablas turistas zona y tip.'!E32/'Tablas turistas zona y tip.'!E45-1,"-")</f>
        <v>-8.2622117305247711E-3</v>
      </c>
      <c r="E32" s="140">
        <f>IFERROR('Tablas turistas zona y tip.'!F32/'Tablas turistas zona y tip.'!F45-1,"-")</f>
        <v>-5.1887107771702023E-2</v>
      </c>
      <c r="F32" s="140">
        <f>IFERROR('Tablas turistas zona y tip.'!G32/'Tablas turistas zona y tip.'!G45-1,"-")</f>
        <v>-4.7559609165907069E-2</v>
      </c>
      <c r="G32" s="140">
        <f>IFERROR('Tablas turistas zona y tip.'!H32/'Tablas turistas zona y tip.'!H45-1,"-")</f>
        <v>-5.4780219428307908E-2</v>
      </c>
      <c r="H32" s="140">
        <f>IFERROR('Tablas turistas zona y tip.'!I32/'Tablas turistas zona y tip.'!I45-1,"-")</f>
        <v>-5.0992752299165556E-2</v>
      </c>
      <c r="I32" s="140">
        <f>IFERROR('Tablas turistas zona y tip.'!J32/'Tablas turistas zona y tip.'!J45-1,"-")</f>
        <v>-6.0835358371628567E-2</v>
      </c>
      <c r="J32" s="140">
        <f>IFERROR('Tablas turistas zona y tip.'!K32/'Tablas turistas zona y tip.'!K45-1,"-")</f>
        <v>-6.8597254416325359E-2</v>
      </c>
      <c r="K32" s="140">
        <f>IFERROR('Tablas turistas zona y tip.'!L32/'Tablas turistas zona y tip.'!L45-1,"-")</f>
        <v>-6.4181358592495297E-2</v>
      </c>
    </row>
    <row r="33" spans="2:11" hidden="1" outlineLevel="1">
      <c r="B33" s="51" t="s">
        <v>38</v>
      </c>
      <c r="C33" s="140">
        <f>IFERROR('Tablas turistas zona y tip.'!D33/'Tablas turistas zona y tip.'!D46-1,"-")</f>
        <v>-9.2110758233540202E-2</v>
      </c>
      <c r="D33" s="140">
        <f>IFERROR('Tablas turistas zona y tip.'!E33/'Tablas turistas zona y tip.'!E46-1,"-")</f>
        <v>-0.11462595322624303</v>
      </c>
      <c r="E33" s="140">
        <f>IFERROR('Tablas turistas zona y tip.'!F33/'Tablas turistas zona y tip.'!F46-1,"-")</f>
        <v>-0.10064182993919502</v>
      </c>
      <c r="F33" s="140">
        <f>IFERROR('Tablas turistas zona y tip.'!G33/'Tablas turistas zona y tip.'!G46-1,"-")</f>
        <v>-6.3171275598694399E-2</v>
      </c>
      <c r="G33" s="140">
        <f>IFERROR('Tablas turistas zona y tip.'!H33/'Tablas turistas zona y tip.'!H46-1,"-")</f>
        <v>-4.2110375812033252E-2</v>
      </c>
      <c r="H33" s="140">
        <f>IFERROR('Tablas turistas zona y tip.'!I33/'Tablas turistas zona y tip.'!I46-1,"-")</f>
        <v>-5.3270313160027838E-2</v>
      </c>
      <c r="I33" s="140">
        <f>IFERROR('Tablas turistas zona y tip.'!J33/'Tablas turistas zona y tip.'!J46-1,"-")</f>
        <v>-6.4904758290961539E-2</v>
      </c>
      <c r="J33" s="140">
        <f>IFERROR('Tablas turistas zona y tip.'!K33/'Tablas turistas zona y tip.'!K46-1,"-")</f>
        <v>-4.4770348987061226E-2</v>
      </c>
      <c r="K33" s="140">
        <f>IFERROR('Tablas turistas zona y tip.'!L33/'Tablas turistas zona y tip.'!L46-1,"-")</f>
        <v>-5.6367888444473602E-2</v>
      </c>
    </row>
    <row r="34" spans="2:11" hidden="1" outlineLevel="1">
      <c r="B34" s="51" t="s">
        <v>39</v>
      </c>
      <c r="C34" s="140">
        <f>IFERROR('Tablas turistas zona y tip.'!D34/'Tablas turistas zona y tip.'!D47-1,"-")</f>
        <v>-8.5183282409034833E-2</v>
      </c>
      <c r="D34" s="140">
        <f>IFERROR('Tablas turistas zona y tip.'!E34/'Tablas turistas zona y tip.'!E47-1,"-")</f>
        <v>-1.591038098100106E-2</v>
      </c>
      <c r="E34" s="140">
        <f>IFERROR('Tablas turistas zona y tip.'!F34/'Tablas turistas zona y tip.'!F47-1,"-")</f>
        <v>-6.0896591687299217E-2</v>
      </c>
      <c r="F34" s="140">
        <f>IFERROR('Tablas turistas zona y tip.'!G34/'Tablas turistas zona y tip.'!G47-1,"-")</f>
        <v>-5.819159359847248E-2</v>
      </c>
      <c r="G34" s="140">
        <f>IFERROR('Tablas turistas zona y tip.'!H34/'Tablas turistas zona y tip.'!H47-1,"-")</f>
        <v>-1.5318484766478124E-2</v>
      </c>
      <c r="H34" s="140">
        <f>IFERROR('Tablas turistas zona y tip.'!I34/'Tablas turistas zona y tip.'!I47-1,"-")</f>
        <v>-3.9158107670127507E-2</v>
      </c>
      <c r="I34" s="140">
        <f>IFERROR('Tablas turistas zona y tip.'!J34/'Tablas turistas zona y tip.'!J47-1,"-")</f>
        <v>-6.3063586755120915E-2</v>
      </c>
      <c r="J34" s="140">
        <f>IFERROR('Tablas turistas zona y tip.'!K34/'Tablas turistas zona y tip.'!K47-1,"-")</f>
        <v>-4.1318825626113886E-2</v>
      </c>
      <c r="K34" s="140">
        <f>IFERROR('Tablas turistas zona y tip.'!L34/'Tablas turistas zona y tip.'!L47-1,"-")</f>
        <v>-5.4131060229822059E-2</v>
      </c>
    </row>
    <row r="35" spans="2:11" hidden="1" outlineLevel="1">
      <c r="B35" s="51" t="s">
        <v>40</v>
      </c>
      <c r="C35" s="140">
        <f>IFERROR('Tablas turistas zona y tip.'!D35/'Tablas turistas zona y tip.'!D48-1,"-")</f>
        <v>-6.8633766672651086E-2</v>
      </c>
      <c r="D35" s="140">
        <f>IFERROR('Tablas turistas zona y tip.'!E35/'Tablas turistas zona y tip.'!E48-1,"-")</f>
        <v>3.2842582106455298E-2</v>
      </c>
      <c r="E35" s="140">
        <f>IFERROR('Tablas turistas zona y tip.'!F35/'Tablas turistas zona y tip.'!F48-1,"-")</f>
        <v>-3.4648423507266157E-2</v>
      </c>
      <c r="F35" s="140">
        <f>IFERROR('Tablas turistas zona y tip.'!G35/'Tablas turistas zona y tip.'!G48-1,"-")</f>
        <v>-3.8636299013335651E-2</v>
      </c>
      <c r="G35" s="140">
        <f>IFERROR('Tablas turistas zona y tip.'!H35/'Tablas turistas zona y tip.'!H48-1,"-")</f>
        <v>-1.3145129224652052E-2</v>
      </c>
      <c r="H35" s="140">
        <f>IFERROR('Tablas turistas zona y tip.'!I35/'Tablas turistas zona y tip.'!I48-1,"-")</f>
        <v>-2.8007758749316158E-2</v>
      </c>
      <c r="I35" s="140">
        <f>IFERROR('Tablas turistas zona y tip.'!J35/'Tablas turistas zona y tip.'!J48-1,"-")</f>
        <v>-5.2044990985233186E-2</v>
      </c>
      <c r="J35" s="140">
        <f>IFERROR('Tablas turistas zona y tip.'!K35/'Tablas turistas zona y tip.'!K48-1,"-")</f>
        <v>-3.2890356941670529E-2</v>
      </c>
      <c r="K35" s="140">
        <f>IFERROR('Tablas turistas zona y tip.'!L35/'Tablas turistas zona y tip.'!L48-1,"-")</f>
        <v>-4.4741254951926934E-2</v>
      </c>
    </row>
    <row r="36" spans="2:11" hidden="1" outlineLevel="1">
      <c r="B36" s="51" t="s">
        <v>41</v>
      </c>
      <c r="C36" s="140">
        <f>IFERROR('Tablas turistas zona y tip.'!D36/'Tablas turistas zona y tip.'!D49-1,"-")</f>
        <v>1.2531438521202309E-2</v>
      </c>
      <c r="D36" s="140">
        <f>IFERROR('Tablas turistas zona y tip.'!E36/'Tablas turistas zona y tip.'!E49-1,"-")</f>
        <v>1.294349905461023E-2</v>
      </c>
      <c r="E36" s="140">
        <f>IFERROR('Tablas turistas zona y tip.'!F36/'Tablas turistas zona y tip.'!F49-1,"-")</f>
        <v>1.26910936102822E-2</v>
      </c>
      <c r="F36" s="140">
        <f>IFERROR('Tablas turistas zona y tip.'!G36/'Tablas turistas zona y tip.'!G49-1,"-")</f>
        <v>3.7143650364568792E-2</v>
      </c>
      <c r="G36" s="140">
        <f>IFERROR('Tablas turistas zona y tip.'!H36/'Tablas turistas zona y tip.'!H49-1,"-")</f>
        <v>8.3277249771562811E-3</v>
      </c>
      <c r="H36" s="140">
        <f>IFERROR('Tablas turistas zona y tip.'!I36/'Tablas turistas zona y tip.'!I49-1,"-")</f>
        <v>2.3572823739802296E-2</v>
      </c>
      <c r="I36" s="140">
        <f>IFERROR('Tablas turistas zona y tip.'!J36/'Tablas turistas zona y tip.'!J49-1,"-")</f>
        <v>1.5521279443254876E-2</v>
      </c>
      <c r="J36" s="140">
        <f>IFERROR('Tablas turistas zona y tip.'!K36/'Tablas turistas zona y tip.'!K49-1,"-")</f>
        <v>-6.381904297555252E-3</v>
      </c>
      <c r="K36" s="140">
        <f>IFERROR('Tablas turistas zona y tip.'!L36/'Tablas turistas zona y tip.'!L49-1,"-")</f>
        <v>6.0027393528467865E-3</v>
      </c>
    </row>
    <row r="37" spans="2:11" hidden="1" outlineLevel="1">
      <c r="B37" s="51" t="s">
        <v>42</v>
      </c>
      <c r="C37" s="140">
        <f>IFERROR('Tablas turistas zona y tip.'!D37/'Tablas turistas zona y tip.'!D50-1,"-")</f>
        <v>-2.3890525515537386E-2</v>
      </c>
      <c r="D37" s="140">
        <f>IFERROR('Tablas turistas zona y tip.'!E37/'Tablas turistas zona y tip.'!E50-1,"-")</f>
        <v>6.2952676577901157E-2</v>
      </c>
      <c r="E37" s="140">
        <f>IFERROR('Tablas turistas zona y tip.'!F37/'Tablas turistas zona y tip.'!F50-1,"-")</f>
        <v>5.9506359196352943E-3</v>
      </c>
      <c r="F37" s="140">
        <f>IFERROR('Tablas turistas zona y tip.'!G37/'Tablas turistas zona y tip.'!G50-1,"-")</f>
        <v>3.5922263461609427E-2</v>
      </c>
      <c r="G37" s="140">
        <f>IFERROR('Tablas turistas zona y tip.'!H37/'Tablas turistas zona y tip.'!H50-1,"-")</f>
        <v>3.5615850428181606E-2</v>
      </c>
      <c r="H37" s="140">
        <f>IFERROR('Tablas turistas zona y tip.'!I37/'Tablas turistas zona y tip.'!I50-1,"-")</f>
        <v>3.5787290859249365E-2</v>
      </c>
      <c r="I37" s="140">
        <f>IFERROR('Tablas turistas zona y tip.'!J37/'Tablas turistas zona y tip.'!J50-1,"-")</f>
        <v>3.6489605716583107E-3</v>
      </c>
      <c r="J37" s="140">
        <f>IFERROR('Tablas turistas zona y tip.'!K37/'Tablas turistas zona y tip.'!K50-1,"-")</f>
        <v>1.7822406813521319E-3</v>
      </c>
      <c r="K37" s="140">
        <f>IFERROR('Tablas turistas zona y tip.'!L37/'Tablas turistas zona y tip.'!L50-1,"-")</f>
        <v>2.8873029458640342E-3</v>
      </c>
    </row>
    <row r="38" spans="2:11" hidden="1" outlineLevel="1">
      <c r="B38" s="51" t="s">
        <v>43</v>
      </c>
      <c r="C38" s="140">
        <f>IFERROR('Tablas turistas zona y tip.'!D38/'Tablas turistas zona y tip.'!D51-1,"-")</f>
        <v>2.8005955169649432E-2</v>
      </c>
      <c r="D38" s="140">
        <f>IFERROR('Tablas turistas zona y tip.'!E38/'Tablas turistas zona y tip.'!E51-1,"-")</f>
        <v>-1.7191208337632879E-2</v>
      </c>
      <c r="E38" s="140">
        <f>IFERROR('Tablas turistas zona y tip.'!F38/'Tablas turistas zona y tip.'!F51-1,"-")</f>
        <v>1.2850677480519934E-2</v>
      </c>
      <c r="F38" s="140">
        <f>IFERROR('Tablas turistas zona y tip.'!G38/'Tablas turistas zona y tip.'!G51-1,"-")</f>
        <v>1.1718365906842942E-2</v>
      </c>
      <c r="G38" s="140">
        <f>IFERROR('Tablas turistas zona y tip.'!H38/'Tablas turistas zona y tip.'!H51-1,"-")</f>
        <v>-1.8961732332851478E-2</v>
      </c>
      <c r="H38" s="140">
        <f>IFERROR('Tablas turistas zona y tip.'!I38/'Tablas turistas zona y tip.'!I51-1,"-")</f>
        <v>-1.491957263493493E-3</v>
      </c>
      <c r="I38" s="140">
        <f>IFERROR('Tablas turistas zona y tip.'!J38/'Tablas turistas zona y tip.'!J51-1,"-")</f>
        <v>-6.823381724675559E-3</v>
      </c>
      <c r="J38" s="140">
        <f>IFERROR('Tablas turistas zona y tip.'!K38/'Tablas turistas zona y tip.'!K51-1,"-")</f>
        <v>-4.477385163305736E-2</v>
      </c>
      <c r="K38" s="140">
        <f>IFERROR('Tablas turistas zona y tip.'!L38/'Tablas turistas zona y tip.'!L51-1,"-")</f>
        <v>-2.1998478673481037E-2</v>
      </c>
    </row>
    <row r="39" spans="2:11" hidden="1" outlineLevel="1">
      <c r="B39" s="51" t="s">
        <v>44</v>
      </c>
      <c r="C39" s="140">
        <f>IFERROR('Tablas turistas zona y tip.'!D39/'Tablas turistas zona y tip.'!D52-1,"-")</f>
        <v>0.29880827199439186</v>
      </c>
      <c r="D39" s="140">
        <f>IFERROR('Tablas turistas zona y tip.'!E39/'Tablas turistas zona y tip.'!E52-1,"-")</f>
        <v>0.37266857962697264</v>
      </c>
      <c r="E39" s="140">
        <f>IFERROR('Tablas turistas zona y tip.'!F39/'Tablas turistas zona y tip.'!F52-1,"-")</f>
        <v>0.32186036098098647</v>
      </c>
      <c r="F39" s="140">
        <f>IFERROR('Tablas turistas zona y tip.'!G39/'Tablas turistas zona y tip.'!G52-1,"-")</f>
        <v>0.25499635203229309</v>
      </c>
      <c r="G39" s="140">
        <f>IFERROR('Tablas turistas zona y tip.'!H39/'Tablas turistas zona y tip.'!H52-1,"-")</f>
        <v>0.17274704491725767</v>
      </c>
      <c r="H39" s="140">
        <f>IFERROR('Tablas turistas zona y tip.'!I39/'Tablas turistas zona y tip.'!I52-1,"-")</f>
        <v>0.2205366729131919</v>
      </c>
      <c r="I39" s="140">
        <f>IFERROR('Tablas turistas zona y tip.'!J39/'Tablas turistas zona y tip.'!J52-1,"-")</f>
        <v>0.22747525222777454</v>
      </c>
      <c r="J39" s="140">
        <f>IFERROR('Tablas turistas zona y tip.'!K39/'Tablas turistas zona y tip.'!K52-1,"-")</f>
        <v>0.18120416091094338</v>
      </c>
      <c r="K39" s="140">
        <f>IFERROR('Tablas turistas zona y tip.'!L39/'Tablas turistas zona y tip.'!L52-1,"-")</f>
        <v>0.20972440587551566</v>
      </c>
    </row>
    <row r="40" spans="2:11" hidden="1" outlineLevel="1">
      <c r="B40" s="51" t="s">
        <v>45</v>
      </c>
      <c r="C40" s="140">
        <f>IFERROR('Tablas turistas zona y tip.'!D40/'Tablas turistas zona y tip.'!D53-1,"-")</f>
        <v>-3.3702360201629977E-2</v>
      </c>
      <c r="D40" s="140">
        <f>IFERROR('Tablas turistas zona y tip.'!E40/'Tablas turistas zona y tip.'!E53-1,"-")</f>
        <v>-6.1834621554615721E-2</v>
      </c>
      <c r="E40" s="140">
        <f>IFERROR('Tablas turistas zona y tip.'!F40/'Tablas turistas zona y tip.'!F53-1,"-")</f>
        <v>-4.3288134119298549E-2</v>
      </c>
      <c r="F40" s="140">
        <f>IFERROR('Tablas turistas zona y tip.'!G40/'Tablas turistas zona y tip.'!G53-1,"-")</f>
        <v>-1.1964091579389269E-2</v>
      </c>
      <c r="G40" s="140">
        <f>IFERROR('Tablas turistas zona y tip.'!H40/'Tablas turistas zona y tip.'!H53-1,"-")</f>
        <v>-5.4019575185865087E-2</v>
      </c>
      <c r="H40" s="140">
        <f>IFERROR('Tablas turistas zona y tip.'!I40/'Tablas turistas zona y tip.'!I53-1,"-")</f>
        <v>-3.0115967121745579E-2</v>
      </c>
      <c r="I40" s="140">
        <f>IFERROR('Tablas turistas zona y tip.'!J40/'Tablas turistas zona y tip.'!J53-1,"-")</f>
        <v>-1.6913764629315486E-2</v>
      </c>
      <c r="J40" s="140">
        <f>IFERROR('Tablas turistas zona y tip.'!K40/'Tablas turistas zona y tip.'!K53-1,"-")</f>
        <v>-5.3515294226820886E-2</v>
      </c>
      <c r="K40" s="140">
        <f>IFERROR('Tablas turistas zona y tip.'!L40/'Tablas turistas zona y tip.'!L53-1,"-")</f>
        <v>-3.1314106294082933E-2</v>
      </c>
    </row>
    <row r="41" spans="2:11" hidden="1" outlineLevel="1">
      <c r="B41" s="51" t="s">
        <v>46</v>
      </c>
      <c r="C41" s="140">
        <f>IFERROR('Tablas turistas zona y tip.'!D41/'Tablas turistas zona y tip.'!D54-1,"-")</f>
        <v>0.10823970390182791</v>
      </c>
      <c r="D41" s="140">
        <f>IFERROR('Tablas turistas zona y tip.'!E41/'Tablas turistas zona y tip.'!E54-1,"-")</f>
        <v>-3.5162094763092289E-2</v>
      </c>
      <c r="E41" s="140">
        <f>IFERROR('Tablas turistas zona y tip.'!F41/'Tablas turistas zona y tip.'!F54-1,"-")</f>
        <v>5.2170621332828571E-2</v>
      </c>
      <c r="F41" s="140">
        <f>IFERROR('Tablas turistas zona y tip.'!G41/'Tablas turistas zona y tip.'!G54-1,"-")</f>
        <v>6.9070313579223663E-2</v>
      </c>
      <c r="G41" s="140">
        <f>IFERROR('Tablas turistas zona y tip.'!H41/'Tablas turistas zona y tip.'!H54-1,"-")</f>
        <v>2.3612219885986718E-3</v>
      </c>
      <c r="H41" s="140">
        <f>IFERROR('Tablas turistas zona y tip.'!I41/'Tablas turistas zona y tip.'!I54-1,"-")</f>
        <v>3.7286346821955085E-2</v>
      </c>
      <c r="I41" s="140">
        <f>IFERROR('Tablas turistas zona y tip.'!J41/'Tablas turistas zona y tip.'!J54-1,"-")</f>
        <v>6.0363772385093828E-2</v>
      </c>
      <c r="J41" s="140">
        <f>IFERROR('Tablas turistas zona y tip.'!K41/'Tablas turistas zona y tip.'!K54-1,"-")</f>
        <v>1.0763135195594353E-2</v>
      </c>
      <c r="K41" s="140">
        <f>IFERROR('Tablas turistas zona y tip.'!L41/'Tablas turistas zona y tip.'!L54-1,"-")</f>
        <v>3.8962924489140738E-2</v>
      </c>
    </row>
    <row r="42" spans="2:11" hidden="1" outlineLevel="1">
      <c r="B42" s="51" t="s">
        <v>47</v>
      </c>
      <c r="C42" s="140">
        <f>IFERROR('Tablas turistas zona y tip.'!D42/'Tablas turistas zona y tip.'!D55-1,"-")</f>
        <v>0.11172447536083907</v>
      </c>
      <c r="D42" s="140">
        <f>IFERROR('Tablas turistas zona y tip.'!E42/'Tablas turistas zona y tip.'!E55-1,"-")</f>
        <v>0.1104470850611563</v>
      </c>
      <c r="E42" s="140">
        <f>IFERROR('Tablas turistas zona y tip.'!F42/'Tablas turistas zona y tip.'!F55-1,"-")</f>
        <v>0.11124026655923291</v>
      </c>
      <c r="F42" s="140">
        <f>IFERROR('Tablas turistas zona y tip.'!G42/'Tablas turistas zona y tip.'!G55-1,"-")</f>
        <v>8.0198801344832704E-2</v>
      </c>
      <c r="G42" s="140">
        <f>IFERROR('Tablas turistas zona y tip.'!H42/'Tablas turistas zona y tip.'!H55-1,"-")</f>
        <v>0.11778188396932809</v>
      </c>
      <c r="H42" s="140">
        <f>IFERROR('Tablas turistas zona y tip.'!I42/'Tablas turistas zona y tip.'!I55-1,"-")</f>
        <v>9.8086080417716159E-2</v>
      </c>
      <c r="I42" s="140">
        <f>IFERROR('Tablas turistas zona y tip.'!J42/'Tablas turistas zona y tip.'!J55-1,"-")</f>
        <v>7.5054814619429866E-2</v>
      </c>
      <c r="J42" s="140">
        <f>IFERROR('Tablas turistas zona y tip.'!K42/'Tablas turistas zona y tip.'!K55-1,"-")</f>
        <v>9.8322758620689621E-2</v>
      </c>
      <c r="K42" s="140">
        <f>IFERROR('Tablas turistas zona y tip.'!L42/'Tablas turistas zona y tip.'!L55-1,"-")</f>
        <v>8.5003986921011743E-2</v>
      </c>
    </row>
    <row r="43" spans="2:11" hidden="1" outlineLevel="1">
      <c r="B43" s="51" t="s">
        <v>48</v>
      </c>
      <c r="C43" s="140">
        <f>IFERROR('Tablas turistas zona y tip.'!D43/'Tablas turistas zona y tip.'!D56-1,"-")</f>
        <v>1.5510078810930583E-2</v>
      </c>
      <c r="D43" s="140">
        <f>IFERROR('Tablas turistas zona y tip.'!E43/'Tablas turistas zona y tip.'!E56-1,"-")</f>
        <v>-9.5977314452947438E-3</v>
      </c>
      <c r="E43" s="140">
        <f>IFERROR('Tablas turistas zona y tip.'!F43/'Tablas turistas zona y tip.'!F56-1,"-")</f>
        <v>6.0652060939252461E-3</v>
      </c>
      <c r="F43" s="140">
        <f>IFERROR('Tablas turistas zona y tip.'!G43/'Tablas turistas zona y tip.'!G56-1,"-")</f>
        <v>8.7487090609086327E-3</v>
      </c>
      <c r="G43" s="140">
        <f>IFERROR('Tablas turistas zona y tip.'!H43/'Tablas turistas zona y tip.'!H56-1,"-")</f>
        <v>6.3194005597182468E-3</v>
      </c>
      <c r="H43" s="140">
        <f>IFERROR('Tablas turistas zona y tip.'!I43/'Tablas turistas zona y tip.'!I56-1,"-")</f>
        <v>7.6292150292975869E-3</v>
      </c>
      <c r="I43" s="140">
        <f>IFERROR('Tablas turistas zona y tip.'!J43/'Tablas turistas zona y tip.'!J56-1,"-")</f>
        <v>8.4389615671389695E-3</v>
      </c>
      <c r="J43" s="140">
        <f>IFERROR('Tablas turistas zona y tip.'!K43/'Tablas turistas zona y tip.'!K56-1,"-")</f>
        <v>3.6766854884906497E-3</v>
      </c>
      <c r="K43" s="140">
        <f>IFERROR('Tablas turistas zona y tip.'!L43/'Tablas turistas zona y tip.'!L56-1,"-")</f>
        <v>6.4378104075888398E-3</v>
      </c>
    </row>
    <row r="44" spans="2:11" collapsed="1">
      <c r="B44" s="134">
        <v>2008</v>
      </c>
      <c r="C44" s="144">
        <f>IFERROR('Tablas turistas zona y tip.'!D44/'Tablas turistas zona y tip.'!D57-1,"-")</f>
        <v>1.0509631389211904E-2</v>
      </c>
      <c r="D44" s="144">
        <f>IFERROR('Tablas turistas zona y tip.'!E44/'Tablas turistas zona y tip.'!E57-1,"-")</f>
        <v>1.4946209701878654E-2</v>
      </c>
      <c r="E44" s="144">
        <f>IFERROR('Tablas turistas zona y tip.'!F44/'Tablas turistas zona y tip.'!F57-1,"-")</f>
        <v>1.2106957459176781E-2</v>
      </c>
      <c r="F44" s="144">
        <f>IFERROR('Tablas turistas zona y tip.'!G44/'Tablas turistas zona y tip.'!G57-1,"-")</f>
        <v>1.9386058183545885E-2</v>
      </c>
      <c r="G44" s="144">
        <f>IFERROR('Tablas turistas zona y tip.'!H44/'Tablas turistas zona y tip.'!H57-1,"-")</f>
        <v>8.3966279570659719E-3</v>
      </c>
      <c r="H44" s="144">
        <f>IFERROR('Tablas turistas zona y tip.'!I44/'Tablas turistas zona y tip.'!I57-1,"-")</f>
        <v>1.4412581191193929E-2</v>
      </c>
      <c r="I44" s="144">
        <f>IFERROR('Tablas turistas zona y tip.'!J44/'Tablas turistas zona y tip.'!J57-1,"-")</f>
        <v>6.9478690219793027E-3</v>
      </c>
      <c r="J44" s="144">
        <f>IFERROR('Tablas turistas zona y tip.'!K44/'Tablas turistas zona y tip.'!K57-1,"-")</f>
        <v>-3.6525767597872516E-3</v>
      </c>
      <c r="K44" s="144">
        <f>IFERROR('Tablas turistas zona y tip.'!L44/'Tablas turistas zona y tip.'!L57-1,"-")</f>
        <v>2.5655529758368267E-3</v>
      </c>
    </row>
    <row r="45" spans="2:11" hidden="1" outlineLevel="1">
      <c r="B45" s="51" t="s">
        <v>37</v>
      </c>
      <c r="C45" s="140">
        <f>IFERROR('Tablas turistas zona y tip.'!D45/'Tablas turistas zona y tip.'!D58-1,"-")</f>
        <v>-4.8365012886597891E-2</v>
      </c>
      <c r="D45" s="140">
        <f>IFERROR('Tablas turistas zona y tip.'!E45/'Tablas turistas zona y tip.'!E58-1,"-")</f>
        <v>-9.0067910312123023E-2</v>
      </c>
      <c r="E45" s="140">
        <f>IFERROR('Tablas turistas zona y tip.'!F45/'Tablas turistas zona y tip.'!F58-1,"-")</f>
        <v>-6.4154295616488111E-2</v>
      </c>
      <c r="F45" s="140">
        <f>IFERROR('Tablas turistas zona y tip.'!G45/'Tablas turistas zona y tip.'!G58-1,"-")</f>
        <v>-4.9372768263674649E-2</v>
      </c>
      <c r="G45" s="140">
        <f>IFERROR('Tablas turistas zona y tip.'!H45/'Tablas turistas zona y tip.'!H58-1,"-")</f>
        <v>-6.2303686932080882E-2</v>
      </c>
      <c r="H45" s="140">
        <f>IFERROR('Tablas turistas zona y tip.'!I45/'Tablas turistas zona y tip.'!I58-1,"-")</f>
        <v>-5.5565142364107034E-2</v>
      </c>
      <c r="I45" s="140">
        <f>IFERROR('Tablas turistas zona y tip.'!J45/'Tablas turistas zona y tip.'!J58-1,"-")</f>
        <v>-3.0314106402668961E-2</v>
      </c>
      <c r="J45" s="140">
        <f>IFERROR('Tablas turistas zona y tip.'!K45/'Tablas turistas zona y tip.'!K58-1,"-")</f>
        <v>-5.16965356646375E-2</v>
      </c>
      <c r="K45" s="140">
        <f>IFERROR('Tablas turistas zona y tip.'!L45/'Tablas turistas zona y tip.'!L58-1,"-")</f>
        <v>-3.96487545817239E-2</v>
      </c>
    </row>
    <row r="46" spans="2:11" hidden="1" outlineLevel="1">
      <c r="B46" s="51" t="s">
        <v>38</v>
      </c>
      <c r="C46" s="140">
        <f>IFERROR('Tablas turistas zona y tip.'!D46/'Tablas turistas zona y tip.'!D59-1,"-")</f>
        <v>2.2746913273668179E-2</v>
      </c>
      <c r="D46" s="140">
        <f>IFERROR('Tablas turistas zona y tip.'!E46/'Tablas turistas zona y tip.'!E59-1,"-")</f>
        <v>0.21723543204852436</v>
      </c>
      <c r="E46" s="140">
        <f>IFERROR('Tablas turistas zona y tip.'!F46/'Tablas turistas zona y tip.'!F59-1,"-")</f>
        <v>8.8654811001076972E-2</v>
      </c>
      <c r="F46" s="140">
        <f>IFERROR('Tablas turistas zona y tip.'!G46/'Tablas turistas zona y tip.'!G59-1,"-")</f>
        <v>3.6704061290700807E-2</v>
      </c>
      <c r="G46" s="140">
        <f>IFERROR('Tablas turistas zona y tip.'!H46/'Tablas turistas zona y tip.'!H59-1,"-")</f>
        <v>0.13215198922218252</v>
      </c>
      <c r="H46" s="140">
        <f>IFERROR('Tablas turistas zona y tip.'!I46/'Tablas turistas zona y tip.'!I59-1,"-")</f>
        <v>7.9487929998613538E-2</v>
      </c>
      <c r="I46" s="140">
        <f>IFERROR('Tablas turistas zona y tip.'!J46/'Tablas turistas zona y tip.'!J59-1,"-")</f>
        <v>2.4311561109275681E-2</v>
      </c>
      <c r="J46" s="140">
        <f>IFERROR('Tablas turistas zona y tip.'!K46/'Tablas turistas zona y tip.'!K59-1,"-")</f>
        <v>0.10692032045283373</v>
      </c>
      <c r="K46" s="140">
        <f>IFERROR('Tablas turistas zona y tip.'!L46/'Tablas turistas zona y tip.'!L59-1,"-")</f>
        <v>5.778234000790694E-2</v>
      </c>
    </row>
    <row r="47" spans="2:11" hidden="1" outlineLevel="1">
      <c r="B47" s="51" t="s">
        <v>39</v>
      </c>
      <c r="C47" s="140">
        <f>IFERROR('Tablas turistas zona y tip.'!D47/'Tablas turistas zona y tip.'!D60-1,"-")</f>
        <v>-1.8106995884773713E-2</v>
      </c>
      <c r="D47" s="140">
        <f>IFERROR('Tablas turistas zona y tip.'!E47/'Tablas turistas zona y tip.'!E60-1,"-")</f>
        <v>-6.2130084865186452E-2</v>
      </c>
      <c r="E47" s="140">
        <f>IFERROR('Tablas turistas zona y tip.'!F47/'Tablas turistas zona y tip.'!F60-1,"-")</f>
        <v>-3.4004104918551881E-2</v>
      </c>
      <c r="F47" s="140">
        <f>IFERROR('Tablas turistas zona y tip.'!G47/'Tablas turistas zona y tip.'!G60-1,"-")</f>
        <v>-4.0540149645171275E-2</v>
      </c>
      <c r="G47" s="140">
        <f>IFERROR('Tablas turistas zona y tip.'!H47/'Tablas turistas zona y tip.'!H60-1,"-")</f>
        <v>-7.7817308082947845E-2</v>
      </c>
      <c r="H47" s="140">
        <f>IFERROR('Tablas turistas zona y tip.'!I47/'Tablas turistas zona y tip.'!I60-1,"-")</f>
        <v>-5.7454736980709686E-2</v>
      </c>
      <c r="I47" s="140">
        <f>IFERROR('Tablas turistas zona y tip.'!J47/'Tablas turistas zona y tip.'!J60-1,"-")</f>
        <v>-3.0137526911652279E-2</v>
      </c>
      <c r="J47" s="140">
        <f>IFERROR('Tablas turistas zona y tip.'!K47/'Tablas turistas zona y tip.'!K60-1,"-")</f>
        <v>-5.9397302172378597E-2</v>
      </c>
      <c r="K47" s="140">
        <f>IFERROR('Tablas turistas zona y tip.'!L47/'Tablas turistas zona y tip.'!L60-1,"-")</f>
        <v>-4.2374670725582431E-2</v>
      </c>
    </row>
    <row r="48" spans="2:11" hidden="1" outlineLevel="1">
      <c r="B48" s="51" t="s">
        <v>40</v>
      </c>
      <c r="C48" s="140">
        <f>IFERROR('Tablas turistas zona y tip.'!D48/'Tablas turistas zona y tip.'!D61-1,"-")</f>
        <v>-8.3667998877459238E-2</v>
      </c>
      <c r="D48" s="140">
        <f>IFERROR('Tablas turistas zona y tip.'!E48/'Tablas turistas zona y tip.'!E61-1,"-")</f>
        <v>-0.20929306999651753</v>
      </c>
      <c r="E48" s="140">
        <f>IFERROR('Tablas turistas zona y tip.'!F48/'Tablas turistas zona y tip.'!F61-1,"-")</f>
        <v>-0.12996211195306773</v>
      </c>
      <c r="F48" s="140">
        <f>IFERROR('Tablas turistas zona y tip.'!G48/'Tablas turistas zona y tip.'!G61-1,"-")</f>
        <v>-5.6585046568522257E-2</v>
      </c>
      <c r="G48" s="140">
        <f>IFERROR('Tablas turistas zona y tip.'!H48/'Tablas turistas zona y tip.'!H61-1,"-")</f>
        <v>-0.20078047044317759</v>
      </c>
      <c r="H48" s="140">
        <f>IFERROR('Tablas turistas zona y tip.'!I48/'Tablas turistas zona y tip.'!I61-1,"-")</f>
        <v>-0.1225893353271289</v>
      </c>
      <c r="I48" s="140">
        <f>IFERROR('Tablas turistas zona y tip.'!J48/'Tablas turistas zona y tip.'!J61-1,"-")</f>
        <v>-6.611917367612441E-2</v>
      </c>
      <c r="J48" s="140">
        <f>IFERROR('Tablas turistas zona y tip.'!K48/'Tablas turistas zona y tip.'!K61-1,"-")</f>
        <v>-0.18851782013121599</v>
      </c>
      <c r="K48" s="140">
        <f>IFERROR('Tablas turistas zona y tip.'!L48/'Tablas turistas zona y tip.'!L61-1,"-")</f>
        <v>-0.11690873113384459</v>
      </c>
    </row>
    <row r="49" spans="2:11" hidden="1" outlineLevel="1">
      <c r="B49" s="51" t="s">
        <v>41</v>
      </c>
      <c r="C49" s="140">
        <f>IFERROR('Tablas turistas zona y tip.'!D49/'Tablas turistas zona y tip.'!D62-1,"-")</f>
        <v>6.5679991502318735E-3</v>
      </c>
      <c r="D49" s="140">
        <f>IFERROR('Tablas turistas zona y tip.'!E49/'Tablas turistas zona y tip.'!E62-1,"-")</f>
        <v>3.8476531481454801E-2</v>
      </c>
      <c r="E49" s="140">
        <f>IFERROR('Tablas turistas zona y tip.'!F49/'Tablas turistas zona y tip.'!F62-1,"-")</f>
        <v>1.8695640244738909E-2</v>
      </c>
      <c r="F49" s="140">
        <f>IFERROR('Tablas turistas zona y tip.'!G49/'Tablas turistas zona y tip.'!G62-1,"-")</f>
        <v>-9.3701900575624553E-3</v>
      </c>
      <c r="G49" s="140">
        <f>IFERROR('Tablas turistas zona y tip.'!H49/'Tablas turistas zona y tip.'!H62-1,"-")</f>
        <v>-1.232679795075764E-2</v>
      </c>
      <c r="H49" s="140">
        <f>IFERROR('Tablas turistas zona y tip.'!I49/'Tablas turistas zona y tip.'!I62-1,"-")</f>
        <v>-1.0764803197577333E-2</v>
      </c>
      <c r="I49" s="140">
        <f>IFERROR('Tablas turistas zona y tip.'!J49/'Tablas turistas zona y tip.'!J62-1,"-")</f>
        <v>-8.9988527623228176E-3</v>
      </c>
      <c r="J49" s="140">
        <f>IFERROR('Tablas turistas zona y tip.'!K49/'Tablas turistas zona y tip.'!K62-1,"-")</f>
        <v>-7.3161772649683599E-3</v>
      </c>
      <c r="K49" s="140">
        <f>IFERROR('Tablas turistas zona y tip.'!L49/'Tablas turistas zona y tip.'!L62-1,"-")</f>
        <v>-8.2683081957001248E-3</v>
      </c>
    </row>
    <row r="50" spans="2:11" hidden="1" outlineLevel="1">
      <c r="B50" s="51" t="s">
        <v>42</v>
      </c>
      <c r="C50" s="140">
        <f>IFERROR('Tablas turistas zona y tip.'!D50/'Tablas turistas zona y tip.'!D63-1,"-")</f>
        <v>9.816998858042103E-3</v>
      </c>
      <c r="D50" s="140">
        <f>IFERROR('Tablas turistas zona y tip.'!E50/'Tablas turistas zona y tip.'!E63-1,"-")</f>
        <v>-0.13636007336918177</v>
      </c>
      <c r="E50" s="140">
        <f>IFERROR('Tablas turistas zona y tip.'!F50/'Tablas turistas zona y tip.'!F63-1,"-")</f>
        <v>-4.5686155457932975E-2</v>
      </c>
      <c r="F50" s="140">
        <f>IFERROR('Tablas turistas zona y tip.'!G50/'Tablas turistas zona y tip.'!G63-1,"-")</f>
        <v>5.6545469991080566E-3</v>
      </c>
      <c r="G50" s="140">
        <f>IFERROR('Tablas turistas zona y tip.'!H50/'Tablas turistas zona y tip.'!H63-1,"-")</f>
        <v>-9.4431860277283564E-2</v>
      </c>
      <c r="H50" s="140">
        <f>IFERROR('Tablas turistas zona y tip.'!I50/'Tablas turistas zona y tip.'!I63-1,"-")</f>
        <v>-4.1032483222997462E-2</v>
      </c>
      <c r="I50" s="140">
        <f>IFERROR('Tablas turistas zona y tip.'!J50/'Tablas turistas zona y tip.'!J63-1,"-")</f>
        <v>-1.1529865180451848E-2</v>
      </c>
      <c r="J50" s="140">
        <f>IFERROR('Tablas turistas zona y tip.'!K50/'Tablas turistas zona y tip.'!K63-1,"-")</f>
        <v>-8.0924632050947576E-2</v>
      </c>
      <c r="K50" s="140">
        <f>IFERROR('Tablas turistas zona y tip.'!L50/'Tablas turistas zona y tip.'!L63-1,"-")</f>
        <v>-4.1072023630761123E-2</v>
      </c>
    </row>
    <row r="51" spans="2:11" hidden="1" outlineLevel="1">
      <c r="B51" s="51" t="s">
        <v>43</v>
      </c>
      <c r="C51" s="140">
        <f>IFERROR('Tablas turistas zona y tip.'!D51/'Tablas turistas zona y tip.'!D64-1,"-")</f>
        <v>6.159454448320334E-3</v>
      </c>
      <c r="D51" s="140">
        <f>IFERROR('Tablas turistas zona y tip.'!E51/'Tablas turistas zona y tip.'!E64-1,"-")</f>
        <v>-0.12817790892243475</v>
      </c>
      <c r="E51" s="140">
        <f>IFERROR('Tablas turistas zona y tip.'!F51/'Tablas turistas zona y tip.'!F64-1,"-")</f>
        <v>-4.3272732087763721E-2</v>
      </c>
      <c r="F51" s="140">
        <f>IFERROR('Tablas turistas zona y tip.'!G51/'Tablas turistas zona y tip.'!G64-1,"-")</f>
        <v>8.6871798462095917E-3</v>
      </c>
      <c r="G51" s="140">
        <f>IFERROR('Tablas turistas zona y tip.'!H51/'Tablas turistas zona y tip.'!H64-1,"-")</f>
        <v>-9.778685639755158E-2</v>
      </c>
      <c r="H51" s="140">
        <f>IFERROR('Tablas turistas zona y tip.'!I51/'Tablas turistas zona y tip.'!I64-1,"-")</f>
        <v>-4.0090544372749393E-2</v>
      </c>
      <c r="I51" s="140">
        <f>IFERROR('Tablas turistas zona y tip.'!J51/'Tablas turistas zona y tip.'!J64-1,"-")</f>
        <v>-3.1043865102496904E-3</v>
      </c>
      <c r="J51" s="140">
        <f>IFERROR('Tablas turistas zona y tip.'!K51/'Tablas turistas zona y tip.'!K64-1,"-")</f>
        <v>-7.2528959161241247E-2</v>
      </c>
      <c r="K51" s="140">
        <f>IFERROR('Tablas turistas zona y tip.'!L51/'Tablas turistas zona y tip.'!L64-1,"-")</f>
        <v>-3.2075724679442752E-2</v>
      </c>
    </row>
    <row r="52" spans="2:11" hidden="1" outlineLevel="1">
      <c r="B52" s="51" t="s">
        <v>44</v>
      </c>
      <c r="C52" s="140">
        <f>IFERROR('Tablas turistas zona y tip.'!D52/'Tablas turistas zona y tip.'!D65-1,"-")</f>
        <v>-0.10437921833307173</v>
      </c>
      <c r="D52" s="140">
        <f>IFERROR('Tablas turistas zona y tip.'!E52/'Tablas turistas zona y tip.'!E65-1,"-")</f>
        <v>-0.15953993136072719</v>
      </c>
      <c r="E52" s="140">
        <f>IFERROR('Tablas turistas zona y tip.'!F52/'Tablas turistas zona y tip.'!F65-1,"-")</f>
        <v>-0.12235674662555363</v>
      </c>
      <c r="F52" s="140">
        <f>IFERROR('Tablas turistas zona y tip.'!G52/'Tablas turistas zona y tip.'!G65-1,"-")</f>
        <v>-9.2519599774764982E-2</v>
      </c>
      <c r="G52" s="140">
        <f>IFERROR('Tablas turistas zona y tip.'!H52/'Tablas turistas zona y tip.'!H65-1,"-")</f>
        <v>-0.10687893247751357</v>
      </c>
      <c r="H52" s="140">
        <f>IFERROR('Tablas turistas zona y tip.'!I52/'Tablas turistas zona y tip.'!I65-1,"-")</f>
        <v>-9.8591498996478788E-2</v>
      </c>
      <c r="I52" s="140">
        <f>IFERROR('Tablas turistas zona y tip.'!J52/'Tablas turistas zona y tip.'!J65-1,"-")</f>
        <v>-9.2565054159716165E-2</v>
      </c>
      <c r="J52" s="140">
        <f>IFERROR('Tablas turistas zona y tip.'!K52/'Tablas turistas zona y tip.'!K65-1,"-")</f>
        <v>-9.2590668910449536E-2</v>
      </c>
      <c r="K52" s="140">
        <f>IFERROR('Tablas turistas zona y tip.'!L52/'Tablas turistas zona y tip.'!L65-1,"-")</f>
        <v>-9.2574880844212726E-2</v>
      </c>
    </row>
    <row r="53" spans="2:11" hidden="1" outlineLevel="1">
      <c r="B53" s="51" t="s">
        <v>45</v>
      </c>
      <c r="C53" s="140">
        <f>IFERROR('Tablas turistas zona y tip.'!D53/'Tablas turistas zona y tip.'!D66-1,"-")</f>
        <v>-6.2386812371352574E-2</v>
      </c>
      <c r="D53" s="140">
        <f>IFERROR('Tablas turistas zona y tip.'!E53/'Tablas turistas zona y tip.'!E66-1,"-")</f>
        <v>-9.8430437998192177E-2</v>
      </c>
      <c r="E53" s="140">
        <f>IFERROR('Tablas turistas zona y tip.'!F53/'Tablas turistas zona y tip.'!F66-1,"-")</f>
        <v>-7.4987646660001572E-2</v>
      </c>
      <c r="F53" s="140">
        <f>IFERROR('Tablas turistas zona y tip.'!G53/'Tablas turistas zona y tip.'!G66-1,"-")</f>
        <v>-8.2511999051926743E-2</v>
      </c>
      <c r="G53" s="140">
        <f>IFERROR('Tablas turistas zona y tip.'!H53/'Tablas turistas zona y tip.'!H66-1,"-")</f>
        <v>-0.1153571249435722</v>
      </c>
      <c r="H53" s="140">
        <f>IFERROR('Tablas turistas zona y tip.'!I53/'Tablas turistas zona y tip.'!I66-1,"-")</f>
        <v>-9.698297294012348E-2</v>
      </c>
      <c r="I53" s="140">
        <f>IFERROR('Tablas turistas zona y tip.'!J53/'Tablas turistas zona y tip.'!J66-1,"-")</f>
        <v>-5.3758885950142554E-2</v>
      </c>
      <c r="J53" s="140">
        <f>IFERROR('Tablas turistas zona y tip.'!K53/'Tablas turistas zona y tip.'!K66-1,"-")</f>
        <v>-0.11880570774388743</v>
      </c>
      <c r="K53" s="140">
        <f>IFERROR('Tablas turistas zona y tip.'!L53/'Tablas turistas zona y tip.'!L66-1,"-")</f>
        <v>-8.0464135463768294E-2</v>
      </c>
    </row>
    <row r="54" spans="2:11" hidden="1" outlineLevel="1">
      <c r="B54" s="51" t="s">
        <v>46</v>
      </c>
      <c r="C54" s="140">
        <f>IFERROR('Tablas turistas zona y tip.'!D54/'Tablas turistas zona y tip.'!D67-1,"-")</f>
        <v>2.9424311170573647E-2</v>
      </c>
      <c r="D54" s="140">
        <f>IFERROR('Tablas turistas zona y tip.'!E54/'Tablas turistas zona y tip.'!E67-1,"-")</f>
        <v>5.521415414144859E-2</v>
      </c>
      <c r="E54" s="140">
        <f>IFERROR('Tablas turistas zona y tip.'!F54/'Tablas turistas zona y tip.'!F67-1,"-")</f>
        <v>3.9356419412336363E-2</v>
      </c>
      <c r="F54" s="140">
        <f>IFERROR('Tablas turistas zona y tip.'!G54/'Tablas turistas zona y tip.'!G67-1,"-")</f>
        <v>5.0004029117086235E-2</v>
      </c>
      <c r="G54" s="140">
        <f>IFERROR('Tablas turistas zona y tip.'!H54/'Tablas turistas zona y tip.'!H67-1,"-")</f>
        <v>3.1470538774232004E-2</v>
      </c>
      <c r="H54" s="140">
        <f>IFERROR('Tablas turistas zona y tip.'!I54/'Tablas turistas zona y tip.'!I67-1,"-")</f>
        <v>4.1091268070676534E-2</v>
      </c>
      <c r="I54" s="140">
        <f>IFERROR('Tablas turistas zona y tip.'!J54/'Tablas turistas zona y tip.'!J67-1,"-")</f>
        <v>5.3518853232388697E-2</v>
      </c>
      <c r="J54" s="140">
        <f>IFERROR('Tablas turistas zona y tip.'!K54/'Tablas turistas zona y tip.'!K67-1,"-")</f>
        <v>2.5113079303693775E-2</v>
      </c>
      <c r="K54" s="140">
        <f>IFERROR('Tablas turistas zona y tip.'!L54/'Tablas turistas zona y tip.'!L67-1,"-")</f>
        <v>4.1072006403596983E-2</v>
      </c>
    </row>
    <row r="55" spans="2:11" hidden="1" outlineLevel="1">
      <c r="B55" s="51" t="s">
        <v>47</v>
      </c>
      <c r="C55" s="140">
        <f>IFERROR('Tablas turistas zona y tip.'!D55/'Tablas turistas zona y tip.'!D68-1,"-")</f>
        <v>1.8547207626889106E-2</v>
      </c>
      <c r="D55" s="140">
        <f>IFERROR('Tablas turistas zona y tip.'!E55/'Tablas turistas zona y tip.'!E68-1,"-")</f>
        <v>-1.7898699520876082E-2</v>
      </c>
      <c r="E55" s="140">
        <f>IFERROR('Tablas turistas zona y tip.'!F55/'Tablas turistas zona y tip.'!F68-1,"-")</f>
        <v>4.4180569836478334E-3</v>
      </c>
      <c r="F55" s="140">
        <f>IFERROR('Tablas turistas zona y tip.'!G55/'Tablas turistas zona y tip.'!G68-1,"-")</f>
        <v>3.8548188271586126E-2</v>
      </c>
      <c r="G55" s="140">
        <f>IFERROR('Tablas turistas zona y tip.'!H55/'Tablas turistas zona y tip.'!H68-1,"-")</f>
        <v>-1.1946640881939419E-2</v>
      </c>
      <c r="H55" s="140">
        <f>IFERROR('Tablas turistas zona y tip.'!I55/'Tablas turistas zona y tip.'!I68-1,"-")</f>
        <v>1.3887335495656794E-2</v>
      </c>
      <c r="I55" s="140">
        <f>IFERROR('Tablas turistas zona y tip.'!J55/'Tablas turistas zona y tip.'!J68-1,"-")</f>
        <v>2.6830754646714361E-2</v>
      </c>
      <c r="J55" s="140">
        <f>IFERROR('Tablas turistas zona y tip.'!K55/'Tablas turistas zona y tip.'!K68-1,"-")</f>
        <v>-2.1946178709994268E-2</v>
      </c>
      <c r="K55" s="140">
        <f>IFERROR('Tablas turistas zona y tip.'!L55/'Tablas turistas zona y tip.'!L68-1,"-")</f>
        <v>5.3911999867177762E-3</v>
      </c>
    </row>
    <row r="56" spans="2:11" hidden="1" outlineLevel="1">
      <c r="B56" s="51" t="s">
        <v>48</v>
      </c>
      <c r="C56" s="140">
        <f>IFERROR('Tablas turistas zona y tip.'!D56/'Tablas turistas zona y tip.'!D69-1,"-")</f>
        <v>-4.6438948930743962E-2</v>
      </c>
      <c r="D56" s="140">
        <f>IFERROR('Tablas turistas zona y tip.'!E56/'Tablas turistas zona y tip.'!E69-1,"-")</f>
        <v>-3.4758044706460378E-2</v>
      </c>
      <c r="E56" s="140">
        <f>IFERROR('Tablas turistas zona y tip.'!F56/'Tablas turistas zona y tip.'!F69-1,"-")</f>
        <v>-4.2078235124584085E-2</v>
      </c>
      <c r="F56" s="140">
        <f>IFERROR('Tablas turistas zona y tip.'!G56/'Tablas turistas zona y tip.'!G69-1,"-")</f>
        <v>-7.5925805938588109E-3</v>
      </c>
      <c r="G56" s="140">
        <f>IFERROR('Tablas turistas zona y tip.'!H56/'Tablas turistas zona y tip.'!H69-1,"-")</f>
        <v>-9.6055943704763891E-2</v>
      </c>
      <c r="H56" s="140">
        <f>IFERROR('Tablas turistas zona y tip.'!I56/'Tablas turistas zona y tip.'!I69-1,"-")</f>
        <v>-5.0417231382606897E-2</v>
      </c>
      <c r="I56" s="140">
        <f>IFERROR('Tablas turistas zona y tip.'!J56/'Tablas turistas zona y tip.'!J69-1,"-")</f>
        <v>1.0847268912061336E-2</v>
      </c>
      <c r="J56" s="140">
        <f>IFERROR('Tablas turistas zona y tip.'!K56/'Tablas turistas zona y tip.'!K69-1,"-")</f>
        <v>-9.0934210456398046E-2</v>
      </c>
      <c r="K56" s="140">
        <f>IFERROR('Tablas turistas zona y tip.'!L56/'Tablas turistas zona y tip.'!L69-1,"-")</f>
        <v>-3.4573850028218667E-2</v>
      </c>
    </row>
    <row r="57" spans="2:11" collapsed="1">
      <c r="B57" s="134">
        <v>2007</v>
      </c>
      <c r="C57" s="144">
        <f>IFERROR('Tablas turistas zona y tip.'!D57/'Tablas turistas zona y tip.'!D70-1,"-")</f>
        <v>-2.2021430014617649E-2</v>
      </c>
      <c r="D57" s="144">
        <f>IFERROR('Tablas turistas zona y tip.'!E57/'Tablas turistas zona y tip.'!E70-1,"-")</f>
        <v>-5.1226640787216726E-2</v>
      </c>
      <c r="E57" s="144">
        <f>IFERROR('Tablas turistas zona y tip.'!F57/'Tablas turistas zona y tip.'!F70-1,"-")</f>
        <v>-3.2741212548908383E-2</v>
      </c>
      <c r="F57" s="144">
        <f>IFERROR('Tablas turistas zona y tip.'!G57/'Tablas turistas zona y tip.'!G70-1,"-")</f>
        <v>-1.7232695335539283E-2</v>
      </c>
      <c r="G57" s="144">
        <f>IFERROR('Tablas turistas zona y tip.'!H57/'Tablas turistas zona y tip.'!H70-1,"-")</f>
        <v>-5.8302151801557733E-2</v>
      </c>
      <c r="H57" s="144">
        <f>IFERROR('Tablas turistas zona y tip.'!I57/'Tablas turistas zona y tip.'!I70-1,"-")</f>
        <v>-3.6254627139557738E-2</v>
      </c>
      <c r="I57" s="144">
        <f>IFERROR('Tablas turistas zona y tip.'!J57/'Tablas turistas zona y tip.'!J70-1,"-")</f>
        <v>-1.5365629285829852E-2</v>
      </c>
      <c r="J57" s="144">
        <f>IFERROR('Tablas turistas zona y tip.'!K57/'Tablas turistas zona y tip.'!K70-1,"-")</f>
        <v>-5.3727730701820575E-2</v>
      </c>
      <c r="K57" s="144">
        <f>IFERROR('Tablas turistas zona y tip.'!L57/'Tablas turistas zona y tip.'!L70-1,"-")</f>
        <v>-3.1595778619496917E-2</v>
      </c>
    </row>
    <row r="58" spans="2:11">
      <c r="B58" s="136" t="s">
        <v>77</v>
      </c>
      <c r="C58" s="137"/>
      <c r="D58" s="137"/>
      <c r="E58" s="137"/>
      <c r="F58" s="137"/>
      <c r="G58" s="137"/>
      <c r="H58" s="137"/>
      <c r="I58" s="137"/>
      <c r="J58" s="137"/>
      <c r="K58" s="138"/>
    </row>
  </sheetData>
  <mergeCells count="6">
    <mergeCell ref="B3:K3"/>
    <mergeCell ref="B4:B5"/>
    <mergeCell ref="C4:E4"/>
    <mergeCell ref="F4:H4"/>
    <mergeCell ref="I4:K4"/>
    <mergeCell ref="B58:K5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C1:L55"/>
  <sheetViews>
    <sheetView showGridLines="0" showRowColHeaders="0" showZeros="0" topLeftCell="A16" zoomScaleNormal="100" workbookViewId="0">
      <selection activeCell="B25" sqref="B25"/>
    </sheetView>
  </sheetViews>
  <sheetFormatPr baseColWidth="10" defaultRowHeight="15"/>
  <cols>
    <col min="1" max="1" width="15.28515625" customWidth="1"/>
    <col min="3" max="3" width="13.28515625" customWidth="1"/>
    <col min="12" max="12" width="15" customWidth="1"/>
  </cols>
  <sheetData>
    <row r="1" spans="3:12" ht="26.25" customHeight="1"/>
    <row r="2" spans="3:12" ht="30.75" customHeight="1" thickBot="1"/>
    <row r="3" spans="3:12" ht="25.5" customHeight="1" thickBot="1">
      <c r="C3" s="145" t="s">
        <v>98</v>
      </c>
      <c r="D3" s="146"/>
      <c r="E3" s="146"/>
      <c r="F3" s="146"/>
      <c r="G3" s="146"/>
      <c r="H3" s="146"/>
      <c r="I3" s="146"/>
      <c r="J3" s="146"/>
      <c r="L3" s="60" t="s">
        <v>49</v>
      </c>
    </row>
    <row r="4" spans="3:12">
      <c r="C4" s="147"/>
      <c r="D4" s="148">
        <v>2007</v>
      </c>
      <c r="E4" s="148">
        <v>2008</v>
      </c>
      <c r="F4" s="149">
        <v>2009</v>
      </c>
      <c r="G4" s="149">
        <v>2010</v>
      </c>
      <c r="H4" s="128" t="s">
        <v>99</v>
      </c>
      <c r="I4" s="128" t="s">
        <v>100</v>
      </c>
      <c r="J4" s="128" t="s">
        <v>101</v>
      </c>
    </row>
    <row r="5" spans="3:12">
      <c r="C5" s="150" t="s">
        <v>57</v>
      </c>
      <c r="D5" s="129">
        <f>GETPIVOTDATA("dato",'[1]Zonas mensual '!$A$5,"mes",1,"año",2007)</f>
        <v>146244</v>
      </c>
      <c r="E5" s="129">
        <f>GETPIVOTDATA("dato",'[1]Zonas mensual '!$A$5,"mes",1,"año",2008)</f>
        <v>147131</v>
      </c>
      <c r="F5" s="129">
        <f>GETPIVOTDATA("dato",'[1]Zonas mensual '!$A$5,"mes",1,"año",2009)</f>
        <v>136344</v>
      </c>
      <c r="G5" s="129">
        <f>GETPIVOTDATA("dato",'[1]Zonas mensual '!$A$5,"mes",1,"año",2010)</f>
        <v>131537</v>
      </c>
      <c r="H5" s="151">
        <f>E5/D5-1</f>
        <v>6.0652060939252461E-3</v>
      </c>
      <c r="I5" s="151">
        <f>F5/E5-1</f>
        <v>-7.3315616695325936E-2</v>
      </c>
      <c r="J5" s="151">
        <f>G5/F5-1</f>
        <v>-3.5256410256410242E-2</v>
      </c>
    </row>
    <row r="6" spans="3:12">
      <c r="C6" s="150" t="s">
        <v>58</v>
      </c>
      <c r="D6" s="129">
        <f>GETPIVOTDATA("dato",'[1]Zonas mensual '!$A$5,"mes",2,"año",2007)</f>
        <v>151411</v>
      </c>
      <c r="E6" s="129">
        <f>GETPIVOTDATA("dato",'[1]Zonas mensual '!$A$5,"mes",2,"año",2008)</f>
        <v>168254</v>
      </c>
      <c r="F6" s="129">
        <f>GETPIVOTDATA("dato",'[1]Zonas mensual '!$A$5,"mes",2,"año",2009)</f>
        <v>133792</v>
      </c>
      <c r="G6" s="129">
        <f>GETPIVOTDATA("dato",'[1]Zonas mensual '!$A$5,"mes",2,"año",2010)</f>
        <v>125419</v>
      </c>
      <c r="H6" s="151">
        <f t="shared" ref="H6:J17" si="0">E6/D6-1</f>
        <v>0.11124026655923291</v>
      </c>
      <c r="I6" s="151">
        <f t="shared" si="0"/>
        <v>-0.20482128210919204</v>
      </c>
      <c r="J6" s="151">
        <f t="shared" si="0"/>
        <v>-6.2582217172925114E-2</v>
      </c>
    </row>
    <row r="7" spans="3:12">
      <c r="C7" s="150" t="s">
        <v>59</v>
      </c>
      <c r="D7" s="129">
        <f>GETPIVOTDATA("dato",'[1]Zonas mensual '!$A$5,"mes",3,"año",2007)</f>
        <v>174351</v>
      </c>
      <c r="E7" s="129">
        <f>GETPIVOTDATA("dato",'[1]Zonas mensual '!$A$5,"mes",3,"año",2008)</f>
        <v>183447</v>
      </c>
      <c r="F7" s="129">
        <f>GETPIVOTDATA("dato",'[1]Zonas mensual '!$A$5,"mes",3,"año",2009)</f>
        <v>135071</v>
      </c>
      <c r="G7" s="129">
        <f>GETPIVOTDATA("dato",'[1]Zonas mensual '!$A$5,"mes",3,"año",2010)</f>
        <v>140329</v>
      </c>
      <c r="H7" s="151">
        <f t="shared" si="0"/>
        <v>5.2170621332828571E-2</v>
      </c>
      <c r="I7" s="151">
        <f t="shared" si="0"/>
        <v>-0.2637055934411574</v>
      </c>
      <c r="J7" s="151">
        <f t="shared" si="0"/>
        <v>3.8927675074590384E-2</v>
      </c>
    </row>
    <row r="8" spans="3:12">
      <c r="C8" s="150" t="s">
        <v>45</v>
      </c>
      <c r="D8" s="129">
        <f>GETPIVOTDATA("dato",'[1]Zonas mensual '!$A$5,"mes",4,"año",2007)</f>
        <v>160991</v>
      </c>
      <c r="E8" s="129">
        <f>GETPIVOTDATA("dato",'[1]Zonas mensual '!$A$5,"mes",4,"año",2008)</f>
        <v>154022</v>
      </c>
      <c r="F8" s="129">
        <f>GETPIVOTDATA("dato",'[1]Zonas mensual '!$A$5,"mes",4,"año",2009)</f>
        <v>143027</v>
      </c>
      <c r="G8" s="129">
        <f>GETPIVOTDATA("dato",'[1]Zonas mensual '!$A$5,"mes",4,"año",2010)</f>
        <v>156611</v>
      </c>
      <c r="H8" s="151">
        <f t="shared" si="0"/>
        <v>-4.3288134119298549E-2</v>
      </c>
      <c r="I8" s="151">
        <f t="shared" si="0"/>
        <v>-7.1385905909545411E-2</v>
      </c>
      <c r="J8" s="151">
        <f t="shared" si="0"/>
        <v>9.4975074636257428E-2</v>
      </c>
    </row>
    <row r="9" spans="3:12">
      <c r="C9" s="150" t="s">
        <v>61</v>
      </c>
      <c r="D9" s="129">
        <f>GETPIVOTDATA("dato",'[1]Zonas mensual '!$A$5,"mes",5,"año",2007)</f>
        <v>116128</v>
      </c>
      <c r="E9" s="129">
        <f>GETPIVOTDATA("dato",'[1]Zonas mensual '!$A$5,"mes",5,"año",2008)</f>
        <v>153505</v>
      </c>
      <c r="F9" s="129">
        <f>GETPIVOTDATA("dato",'[1]Zonas mensual '!$A$5,"mes",5,"año",2009)</f>
        <v>123885</v>
      </c>
      <c r="G9" s="129">
        <f>GETPIVOTDATA("dato",'[1]Zonas mensual '!$A$5,"mes",5,"año",2010)</f>
        <v>132519</v>
      </c>
      <c r="H9" s="151">
        <f t="shared" si="0"/>
        <v>0.32186036098098647</v>
      </c>
      <c r="I9" s="151">
        <f t="shared" si="0"/>
        <v>-0.19295788410800951</v>
      </c>
      <c r="J9" s="151">
        <f t="shared" si="0"/>
        <v>6.9693667514227009E-2</v>
      </c>
    </row>
    <row r="10" spans="3:12">
      <c r="C10" s="150" t="s">
        <v>62</v>
      </c>
      <c r="D10" s="129">
        <f>GETPIVOTDATA("dato",'[1]Zonas mensual '!$A$5,"mes",6,"año",2007)</f>
        <v>144506</v>
      </c>
      <c r="E10" s="129">
        <f>GETPIVOTDATA("dato",'[1]Zonas mensual '!$A$5,"mes",6,"año",2008)</f>
        <v>146363</v>
      </c>
      <c r="F10" s="129">
        <f>GETPIVOTDATA("dato",'[1]Zonas mensual '!$A$5,"mes",6,"año",2009)</f>
        <v>121387</v>
      </c>
      <c r="G10" s="129">
        <f>GETPIVOTDATA("dato",'[1]Zonas mensual '!$A$5,"mes",6,"año",2010)</f>
        <v>128897</v>
      </c>
      <c r="H10" s="151">
        <f t="shared" si="0"/>
        <v>1.2850677480519934E-2</v>
      </c>
      <c r="I10" s="151">
        <f t="shared" si="0"/>
        <v>-0.17064422019226166</v>
      </c>
      <c r="J10" s="151">
        <f t="shared" si="0"/>
        <v>6.1868239597320906E-2</v>
      </c>
    </row>
    <row r="11" spans="3:12">
      <c r="C11" s="150" t="s">
        <v>63</v>
      </c>
      <c r="D11" s="129">
        <f>GETPIVOTDATA("dato",'[1]Zonas mensual '!$A$5,"mes",7,"año",2007)</f>
        <v>160319</v>
      </c>
      <c r="E11" s="129">
        <f>GETPIVOTDATA("dato",'[1]Zonas mensual '!$A$5,"mes",7,"año",2008)</f>
        <v>161273</v>
      </c>
      <c r="F11" s="129">
        <f>GETPIVOTDATA("dato",'[1]Zonas mensual '!$A$5,"mes",7,"año",2009)</f>
        <v>152332</v>
      </c>
      <c r="G11" s="129">
        <f>GETPIVOTDATA("dato",'[1]Zonas mensual '!$A$5,"mes",7,"año",2010)</f>
        <v>163371</v>
      </c>
      <c r="H11" s="151">
        <f t="shared" si="0"/>
        <v>5.9506359196352943E-3</v>
      </c>
      <c r="I11" s="151">
        <f t="shared" si="0"/>
        <v>-5.5440154272568876E-2</v>
      </c>
      <c r="J11" s="151">
        <f t="shared" si="0"/>
        <v>7.2466717432975392E-2</v>
      </c>
    </row>
    <row r="12" spans="3:12">
      <c r="C12" s="150" t="s">
        <v>64</v>
      </c>
      <c r="D12" s="129">
        <f>GETPIVOTDATA("dato",'[1]Zonas mensual '!$A$5,"mes",8,"año",2007)</f>
        <v>185642</v>
      </c>
      <c r="E12" s="129">
        <f>GETPIVOTDATA("dato",'[1]Zonas mensual '!$A$5,"mes",8,"año",2008)</f>
        <v>187998</v>
      </c>
      <c r="F12" s="129">
        <f>GETPIVOTDATA("dato",'[1]Zonas mensual '!$A$5,"mes",8,"año",2009)</f>
        <v>170260</v>
      </c>
      <c r="G12" s="129">
        <f>GETPIVOTDATA("dato",'[1]Zonas mensual '!$A$5,"mes",8,"año",2010)</f>
        <v>0</v>
      </c>
      <c r="H12" s="151">
        <f t="shared" si="0"/>
        <v>1.26910936102822E-2</v>
      </c>
      <c r="I12" s="151">
        <f t="shared" si="0"/>
        <v>-9.4352067575186993E-2</v>
      </c>
      <c r="J12" s="151"/>
    </row>
    <row r="13" spans="3:12">
      <c r="C13" s="150" t="s">
        <v>65</v>
      </c>
      <c r="D13" s="129">
        <f>GETPIVOTDATA("dato",'[1]Zonas mensual '!$A$5,"mes",9,"año",2007)</f>
        <v>142373</v>
      </c>
      <c r="E13" s="129">
        <f>GETPIVOTDATA("dato",'[1]Zonas mensual '!$A$5,"mes",9,"año",2008)</f>
        <v>137440</v>
      </c>
      <c r="F13" s="129">
        <f>GETPIVOTDATA("dato",'[1]Zonas mensual '!$A$5,"mes",9,"año",2009)</f>
        <v>124595</v>
      </c>
      <c r="G13" s="129">
        <f>GETPIVOTDATA("dato",'[1]Zonas mensual '!$A$5,"mes",9,"año",2010)</f>
        <v>0</v>
      </c>
      <c r="H13" s="151">
        <f t="shared" si="0"/>
        <v>-3.4648423507266157E-2</v>
      </c>
      <c r="I13" s="151">
        <f t="shared" si="0"/>
        <v>-9.3458963911525084E-2</v>
      </c>
      <c r="J13" s="151"/>
    </row>
    <row r="14" spans="3:12">
      <c r="C14" s="150" t="s">
        <v>66</v>
      </c>
      <c r="D14" s="129">
        <f>GETPIVOTDATA("dato",'[1]Zonas mensual '!$A$5,"mes",10,"año",2007)</f>
        <v>170847</v>
      </c>
      <c r="E14" s="129">
        <f>GETPIVOTDATA("dato",'[1]Zonas mensual '!$A$5,"mes",10,"año",2008)</f>
        <v>160443</v>
      </c>
      <c r="F14" s="129">
        <f>GETPIVOTDATA("dato",'[1]Zonas mensual '!$A$5,"mes",10,"año",2009)</f>
        <v>145358</v>
      </c>
      <c r="G14" s="129">
        <f>GETPIVOTDATA("dato",'[1]Zonas mensual '!$A$5,"mes",10,"año",2010)</f>
        <v>0</v>
      </c>
      <c r="H14" s="151">
        <f t="shared" si="0"/>
        <v>-6.0896591687299217E-2</v>
      </c>
      <c r="I14" s="151">
        <f t="shared" si="0"/>
        <v>-9.402092955130481E-2</v>
      </c>
      <c r="J14" s="151"/>
    </row>
    <row r="15" spans="3:12">
      <c r="C15" s="150" t="s">
        <v>67</v>
      </c>
      <c r="D15" s="129">
        <f>GETPIVOTDATA("dato",'[1]Zonas mensual '!$A$5,"mes",11,"año",2007)</f>
        <v>165776</v>
      </c>
      <c r="E15" s="129">
        <f>GETPIVOTDATA("dato",'[1]Zonas mensual '!$A$5,"mes",11,"año",2008)</f>
        <v>149092</v>
      </c>
      <c r="F15" s="129">
        <f>GETPIVOTDATA("dato",'[1]Zonas mensual '!$A$5,"mes",11,"año",2009)</f>
        <v>130907</v>
      </c>
      <c r="G15" s="129">
        <f>GETPIVOTDATA("dato",'[1]Zonas mensual '!$A$5,"mes",11,"año",2010)</f>
        <v>0</v>
      </c>
      <c r="H15" s="151">
        <f t="shared" si="0"/>
        <v>-0.10064182993919502</v>
      </c>
      <c r="I15" s="151">
        <f t="shared" si="0"/>
        <v>-0.12197166849998664</v>
      </c>
      <c r="J15" s="151"/>
    </row>
    <row r="16" spans="3:12">
      <c r="C16" s="150" t="s">
        <v>68</v>
      </c>
      <c r="D16" s="129">
        <f>GETPIVOTDATA("dato",'[1]Zonas mensual '!$A$5,"mes",12,"año",2007)</f>
        <v>149594</v>
      </c>
      <c r="E16" s="129">
        <f>GETPIVOTDATA("dato",'[1]Zonas mensual '!$A$5,"mes",12,"año",2008)</f>
        <v>141832</v>
      </c>
      <c r="F16" s="129">
        <f>GETPIVOTDATA("dato",'[1]Zonas mensual '!$A$5,"mes",12,"año",2009)</f>
        <v>132073</v>
      </c>
      <c r="G16" s="129">
        <f>GETPIVOTDATA("dato",'[1]Zonas mensual '!$A$5,"mes",12,"año",2010)</f>
        <v>0</v>
      </c>
      <c r="H16" s="151">
        <f t="shared" si="0"/>
        <v>-5.1887107771702023E-2</v>
      </c>
      <c r="I16" s="151">
        <f t="shared" si="0"/>
        <v>-6.8806757290315268E-2</v>
      </c>
      <c r="J16" s="151"/>
    </row>
    <row r="17" spans="3:12">
      <c r="C17" s="152" t="s">
        <v>102</v>
      </c>
      <c r="D17" s="153">
        <f>GETPIVOTDATA("dato",'[1]Zonas mensual '!$A$5,"año",2007)</f>
        <v>1868182</v>
      </c>
      <c r="E17" s="153">
        <f>GETPIVOTDATA("dato",'[1]Zonas mensual '!$A$5,"año",2008)</f>
        <v>1890800</v>
      </c>
      <c r="F17" s="153">
        <f>GETPIVOTDATA("dato",'[1]Zonas mensual '!$A$5,"año",2009)</f>
        <v>1649031</v>
      </c>
      <c r="G17" s="153">
        <f>GETPIVOTDATA("dato",'[1]Zonas mensual '!$A$5,"año",2010)</f>
        <v>978683</v>
      </c>
      <c r="H17" s="154">
        <f>E17/D17-1</f>
        <v>1.2106957459176781E-2</v>
      </c>
      <c r="I17" s="154">
        <f t="shared" si="0"/>
        <v>-0.12786598265284532</v>
      </c>
      <c r="J17" s="154"/>
    </row>
    <row r="18" spans="3:12" ht="24.75" customHeight="1">
      <c r="C18" s="155" t="s">
        <v>70</v>
      </c>
      <c r="D18" s="156"/>
      <c r="E18" s="156"/>
      <c r="F18" s="156"/>
      <c r="G18" s="156"/>
      <c r="H18" s="156"/>
      <c r="I18" s="156"/>
      <c r="J18" s="157"/>
    </row>
    <row r="19" spans="3:12">
      <c r="C19" s="121"/>
      <c r="D19" s="121"/>
      <c r="E19" s="121"/>
      <c r="F19" s="121"/>
      <c r="G19" s="121"/>
      <c r="H19" s="121"/>
      <c r="I19" s="121"/>
    </row>
    <row r="20" spans="3:12">
      <c r="C20" s="121"/>
      <c r="D20" s="121"/>
      <c r="E20" s="121"/>
      <c r="F20" s="121"/>
      <c r="G20" s="121"/>
      <c r="H20" s="121"/>
      <c r="I20" s="121"/>
    </row>
    <row r="21" spans="3:12" ht="28.5" customHeight="1" thickBot="1">
      <c r="C21" s="145" t="s">
        <v>103</v>
      </c>
      <c r="D21" s="146"/>
      <c r="E21" s="146"/>
      <c r="F21" s="146"/>
      <c r="G21" s="146"/>
      <c r="H21" s="146"/>
      <c r="I21" s="146"/>
      <c r="J21" s="146"/>
    </row>
    <row r="22" spans="3:12" ht="16.5" thickBot="1">
      <c r="C22" s="147"/>
      <c r="D22" s="148">
        <v>2007</v>
      </c>
      <c r="E22" s="148">
        <v>2008</v>
      </c>
      <c r="F22" s="149">
        <v>2009</v>
      </c>
      <c r="G22" s="149">
        <v>2010</v>
      </c>
      <c r="H22" s="128" t="s">
        <v>99</v>
      </c>
      <c r="I22" s="128" t="s">
        <v>100</v>
      </c>
      <c r="J22" s="128" t="s">
        <v>101</v>
      </c>
      <c r="L22" s="60" t="s">
        <v>49</v>
      </c>
    </row>
    <row r="23" spans="3:12">
      <c r="C23" s="150" t="s">
        <v>57</v>
      </c>
      <c r="D23" s="129">
        <f>GETPIVOTDATA("turistas",'[1]Zonas mensual '!$A$25,"MES","Enero","AÑO",2007)</f>
        <v>312483</v>
      </c>
      <c r="E23" s="129">
        <f>GETPIVOTDATA("turistas",'[1]Zonas mensual '!$A$25,"MES","Enero","AÑO",2008)</f>
        <v>314867</v>
      </c>
      <c r="F23" s="129">
        <f>GETPIVOTDATA("turistas",'[1]Zonas mensual '!$A$25,"MES","Enero","AÑO",2009)</f>
        <v>299462</v>
      </c>
      <c r="G23" s="129">
        <f>GETPIVOTDATA("turistas",'[1]Zonas mensual '!$A$25,"MES","Enero","AÑO",2010)</f>
        <v>301357</v>
      </c>
      <c r="H23" s="151">
        <f>E23/D23-1</f>
        <v>7.6292150292975869E-3</v>
      </c>
      <c r="I23" s="151">
        <f>F23/E23-1</f>
        <v>-4.892541930402361E-2</v>
      </c>
      <c r="J23" s="151">
        <f>G23/F23-1</f>
        <v>6.3280149067328484E-3</v>
      </c>
    </row>
    <row r="24" spans="3:12">
      <c r="C24" s="150" t="s">
        <v>58</v>
      </c>
      <c r="D24" s="129">
        <f>GETPIVOTDATA("turistas",'[1]Zonas mensual '!$A$25,"MES","febrero","AÑO",2007)</f>
        <v>326346</v>
      </c>
      <c r="E24" s="129">
        <f>GETPIVOTDATA("turistas",'[1]Zonas mensual '!$A$25,"MES","febrero","AÑO",2008)</f>
        <v>358356</v>
      </c>
      <c r="F24" s="129">
        <f>GETPIVOTDATA("turistas",'[1]Zonas mensual '!$A$25,"MES","febrero","AÑO",2009)</f>
        <v>300505</v>
      </c>
      <c r="G24" s="129">
        <f>GETPIVOTDATA("turistas",'[1]Zonas mensual '!$A$25,"MES","febrero","AÑO",2010)</f>
        <v>287470</v>
      </c>
      <c r="H24" s="151">
        <f t="shared" ref="H24:J35" si="1">E24/D24-1</f>
        <v>9.8086080417716159E-2</v>
      </c>
      <c r="I24" s="151">
        <f t="shared" si="1"/>
        <v>-0.16143443949592029</v>
      </c>
      <c r="J24" s="151">
        <f t="shared" si="1"/>
        <v>-4.337698208016505E-2</v>
      </c>
    </row>
    <row r="25" spans="3:12">
      <c r="C25" s="150" t="s">
        <v>59</v>
      </c>
      <c r="D25" s="129">
        <f>GETPIVOTDATA("turistas",'[1]Zonas mensual '!$A$25,"MES","marzo","AÑO",2007)</f>
        <v>373327</v>
      </c>
      <c r="E25" s="129">
        <f>GETPIVOTDATA("turistas",'[1]Zonas mensual '!$A$25,"MES","marzo","AÑO",2008)</f>
        <v>387247</v>
      </c>
      <c r="F25" s="129">
        <f>GETPIVOTDATA("turistas",'[1]Zonas mensual '!$A$25,"MES","marzo","AÑO",2009)</f>
        <v>317148</v>
      </c>
      <c r="G25" s="129">
        <f>GETPIVOTDATA("turistas",'[1]Zonas mensual '!$A$25,"MES","marzo","AÑO",2010)</f>
        <v>319265</v>
      </c>
      <c r="H25" s="151">
        <f t="shared" si="1"/>
        <v>3.7286346821955085E-2</v>
      </c>
      <c r="I25" s="151">
        <f t="shared" si="1"/>
        <v>-0.18101883294124943</v>
      </c>
      <c r="J25" s="151">
        <f t="shared" si="1"/>
        <v>6.6751169800849386E-3</v>
      </c>
    </row>
    <row r="26" spans="3:12">
      <c r="C26" s="150" t="s">
        <v>45</v>
      </c>
      <c r="D26" s="129">
        <f>GETPIVOTDATA("turistas",'[1]Zonas mensual '!$A$25,"MES","abril","AÑO",2007)</f>
        <v>326903</v>
      </c>
      <c r="E26" s="129">
        <f>GETPIVOTDATA("turistas",'[1]Zonas mensual '!$A$25,"MES","abril","AÑO",2008)</f>
        <v>317058</v>
      </c>
      <c r="F26" s="129">
        <f>GETPIVOTDATA("turistas",'[1]Zonas mensual '!$A$25,"MES","abril","AÑO",2009)</f>
        <v>323645</v>
      </c>
      <c r="G26" s="129">
        <f>GETPIVOTDATA("turistas",'[1]Zonas mensual '!$A$25,"MES","abril","AÑO",2010)</f>
        <v>340243</v>
      </c>
      <c r="H26" s="151">
        <f t="shared" si="1"/>
        <v>-3.0115967121745579E-2</v>
      </c>
      <c r="I26" s="151">
        <f t="shared" si="1"/>
        <v>2.077537863734702E-2</v>
      </c>
      <c r="J26" s="151">
        <f t="shared" si="1"/>
        <v>5.1284586506820773E-2</v>
      </c>
    </row>
    <row r="27" spans="3:12">
      <c r="C27" s="150" t="s">
        <v>61</v>
      </c>
      <c r="D27" s="129">
        <f>GETPIVOTDATA("turistas",'[1]Zonas mensual '!$A$25,"MES","mayo","AÑO",2007)</f>
        <v>252407</v>
      </c>
      <c r="E27" s="129">
        <f>GETPIVOTDATA("turistas",'[1]Zonas mensual '!$A$25,"MES","mayo","AÑO",2008)</f>
        <v>308072</v>
      </c>
      <c r="F27" s="129">
        <f>GETPIVOTDATA("turistas",'[1]Zonas mensual '!$A$25,"MES","mayo","AÑO",2009)</f>
        <v>270689</v>
      </c>
      <c r="G27" s="129">
        <f>GETPIVOTDATA("turistas",'[1]Zonas mensual '!$A$25,"MES","mayo","AÑO",2010)</f>
        <v>282043</v>
      </c>
      <c r="H27" s="151">
        <f t="shared" si="1"/>
        <v>0.2205366729131919</v>
      </c>
      <c r="I27" s="151">
        <f t="shared" si="1"/>
        <v>-0.12134501025734246</v>
      </c>
      <c r="J27" s="151">
        <f t="shared" si="1"/>
        <v>4.1944814898278171E-2</v>
      </c>
    </row>
    <row r="28" spans="3:12">
      <c r="C28" s="150" t="s">
        <v>62</v>
      </c>
      <c r="D28" s="129">
        <f>GETPIVOTDATA("turistas",'[1]Zonas mensual '!$A$25,"MES","junio","AÑO",2007)</f>
        <v>303628</v>
      </c>
      <c r="E28" s="129">
        <f>GETPIVOTDATA("turistas",'[1]Zonas mensual '!$A$25,"MES","junio","AÑO",2008)</f>
        <v>303175</v>
      </c>
      <c r="F28" s="129">
        <f>GETPIVOTDATA("turistas",'[1]Zonas mensual '!$A$25,"MES","junio","AÑO",2009)</f>
        <v>266838</v>
      </c>
      <c r="G28" s="129">
        <f>GETPIVOTDATA("turistas",'[1]Zonas mensual '!$A$25,"MES","junio","AÑO",2010)</f>
        <v>287452</v>
      </c>
      <c r="H28" s="151">
        <f t="shared" si="1"/>
        <v>-1.491957263493493E-3</v>
      </c>
      <c r="I28" s="151">
        <f t="shared" si="1"/>
        <v>-0.11985486929990929</v>
      </c>
      <c r="J28" s="151">
        <f t="shared" si="1"/>
        <v>7.7252865034215468E-2</v>
      </c>
    </row>
    <row r="29" spans="3:12">
      <c r="C29" s="150" t="s">
        <v>63</v>
      </c>
      <c r="D29" s="129">
        <f>GETPIVOTDATA("turistas",'[1]Zonas mensual '!$A$25,"MES","julio","AÑO",2007)</f>
        <v>338528</v>
      </c>
      <c r="E29" s="129">
        <f>GETPIVOTDATA("turistas",'[1]Zonas mensual '!$A$25,"MES","julio","AÑO",2008)</f>
        <v>350643</v>
      </c>
      <c r="F29" s="129">
        <f>GETPIVOTDATA("turistas",'[1]Zonas mensual '!$A$25,"MES","julio","AÑO",2009)</f>
        <v>339918</v>
      </c>
      <c r="G29" s="129">
        <f>GETPIVOTDATA("turistas",'[1]Zonas mensual '!$A$25,"MES","julio","AÑO",2010)</f>
        <v>369320</v>
      </c>
      <c r="H29" s="151">
        <f t="shared" si="1"/>
        <v>3.5787290859249365E-2</v>
      </c>
      <c r="I29" s="151">
        <f t="shared" si="1"/>
        <v>-3.0586665069600727E-2</v>
      </c>
      <c r="J29" s="151">
        <f t="shared" si="1"/>
        <v>8.6497331709412206E-2</v>
      </c>
    </row>
    <row r="30" spans="3:12">
      <c r="C30" s="150" t="s">
        <v>64</v>
      </c>
      <c r="D30" s="129">
        <f>GETPIVOTDATA("turistas",'[1]Zonas mensual '!$A$25,"MES","agosto","AÑO",2007)</f>
        <v>388074</v>
      </c>
      <c r="E30" s="129">
        <f>GETPIVOTDATA("turistas",'[1]Zonas mensual '!$A$25,"MES","agosto","AÑO",2008)</f>
        <v>397222</v>
      </c>
      <c r="F30" s="129">
        <f>GETPIVOTDATA("turistas",'[1]Zonas mensual '!$A$25,"MES","agosto","AÑO",2009)</f>
        <v>362794</v>
      </c>
      <c r="G30" s="129">
        <f>GETPIVOTDATA("turistas",'[1]Zonas mensual '!$A$25,"MES","agosto","AÑO",2010)</f>
        <v>0</v>
      </c>
      <c r="H30" s="151">
        <f t="shared" si="1"/>
        <v>2.3572823739802296E-2</v>
      </c>
      <c r="I30" s="151">
        <f t="shared" si="1"/>
        <v>-8.6671936599684862E-2</v>
      </c>
      <c r="J30" s="151"/>
    </row>
    <row r="31" spans="3:12">
      <c r="C31" s="150" t="s">
        <v>65</v>
      </c>
      <c r="D31" s="129">
        <f>GETPIVOTDATA("turistas",'[1]Zonas mensual '!$A$25,"MES","septiembre","AÑO",2007)</f>
        <v>301595</v>
      </c>
      <c r="E31" s="129">
        <f>GETPIVOTDATA("turistas",'[1]Zonas mensual '!$A$25,"MES","septiembre","AÑO",2008)</f>
        <v>293148</v>
      </c>
      <c r="F31" s="129">
        <f>GETPIVOTDATA("turistas",'[1]Zonas mensual '!$A$25,"MES","septiembre","AÑO",2009)</f>
        <v>278508</v>
      </c>
      <c r="G31" s="129">
        <f>GETPIVOTDATA("turistas",'[1]Zonas mensual '!$A$25,"MES","septiembre","AÑO",2010)</f>
        <v>0</v>
      </c>
      <c r="H31" s="151">
        <f t="shared" si="1"/>
        <v>-2.8007758749316158E-2</v>
      </c>
      <c r="I31" s="151">
        <f t="shared" si="1"/>
        <v>-4.9940644316181615E-2</v>
      </c>
      <c r="J31" s="151"/>
    </row>
    <row r="32" spans="3:12">
      <c r="C32" s="150" t="s">
        <v>66</v>
      </c>
      <c r="D32" s="129">
        <f>GETPIVOTDATA("turistas",'[1]Zonas mensual '!$A$25,"MES","octubre","AÑO",2007)</f>
        <v>357908</v>
      </c>
      <c r="E32" s="129">
        <f>GETPIVOTDATA("turistas",'[1]Zonas mensual '!$A$25,"MES","octubre","AÑO",2008)</f>
        <v>343893</v>
      </c>
      <c r="F32" s="129">
        <f>GETPIVOTDATA("turistas",'[1]Zonas mensual '!$A$25,"MES","octubre","AÑO",2009)</f>
        <v>323899</v>
      </c>
      <c r="G32" s="129">
        <f>GETPIVOTDATA("turistas",'[1]Zonas mensual '!$A$25,"MES","octubre","AÑO",2010)</f>
        <v>0</v>
      </c>
      <c r="H32" s="151">
        <f t="shared" si="1"/>
        <v>-3.9158107670127507E-2</v>
      </c>
      <c r="I32" s="151">
        <f t="shared" si="1"/>
        <v>-5.8140177322597464E-2</v>
      </c>
      <c r="J32" s="151"/>
    </row>
    <row r="33" spans="3:12">
      <c r="C33" s="150" t="s">
        <v>67</v>
      </c>
      <c r="D33" s="129">
        <f>GETPIVOTDATA("turistas",'[1]Zonas mensual '!$A$25,"MES","noviembre","AÑO",2007)</f>
        <v>350364</v>
      </c>
      <c r="E33" s="129">
        <f>GETPIVOTDATA("turistas",'[1]Zonas mensual '!$A$25,"MES","noviembre","AÑO",2008)</f>
        <v>331700</v>
      </c>
      <c r="F33" s="129">
        <f>GETPIVOTDATA("turistas",'[1]Zonas mensual '!$A$25,"MES","noviembre","AÑO",2009)</f>
        <v>287253</v>
      </c>
      <c r="G33" s="129">
        <f>GETPIVOTDATA("turistas",'[1]Zonas mensual '!$A$25,"MES","noviembre","AÑO",2010)</f>
        <v>0</v>
      </c>
      <c r="H33" s="151">
        <f t="shared" si="1"/>
        <v>-5.3270313160027838E-2</v>
      </c>
      <c r="I33" s="151">
        <f t="shared" si="1"/>
        <v>-0.13399758818209229</v>
      </c>
      <c r="J33" s="151"/>
    </row>
    <row r="34" spans="3:12">
      <c r="C34" s="150" t="s">
        <v>68</v>
      </c>
      <c r="D34" s="129">
        <f>GETPIVOTDATA("turistas",'[1]Zonas mensual '!$A$25,"MES","diciembre","AÑO",2007)</f>
        <v>328380</v>
      </c>
      <c r="E34" s="129">
        <f>GETPIVOTDATA("turistas",'[1]Zonas mensual '!$A$25,"MES","diciembre","AÑO",2008)</f>
        <v>311635</v>
      </c>
      <c r="F34" s="129">
        <f>GETPIVOTDATA("turistas",'[1]Zonas mensual '!$A$25,"MES","diciembre","AÑO",2009)</f>
        <v>293565</v>
      </c>
      <c r="G34" s="129">
        <f>GETPIVOTDATA("turistas",'[1]Zonas mensual '!$A$25,"MES","diciembre","AÑO",2010)</f>
        <v>0</v>
      </c>
      <c r="H34" s="151">
        <f t="shared" si="1"/>
        <v>-5.0992752299165556E-2</v>
      </c>
      <c r="I34" s="151">
        <f t="shared" si="1"/>
        <v>-5.7984501099042185E-2</v>
      </c>
      <c r="J34" s="151"/>
    </row>
    <row r="35" spans="3:12">
      <c r="C35" s="152" t="s">
        <v>102</v>
      </c>
      <c r="D35" s="153">
        <f>SUM(D23:D34)</f>
        <v>3959943</v>
      </c>
      <c r="E35" s="153">
        <f>SUM(E23:E34)</f>
        <v>4017016</v>
      </c>
      <c r="F35" s="153">
        <f>SUM(F23:F34)</f>
        <v>3664224</v>
      </c>
      <c r="G35" s="153">
        <f>SUM(G23:G34)</f>
        <v>2187150</v>
      </c>
      <c r="H35" s="154">
        <f>E35/D35-1</f>
        <v>1.4412581191193929E-2</v>
      </c>
      <c r="I35" s="154">
        <f t="shared" si="1"/>
        <v>-8.7824395023569757E-2</v>
      </c>
      <c r="J35" s="154"/>
    </row>
    <row r="36" spans="3:12" ht="23.25" customHeight="1">
      <c r="C36" s="155" t="s">
        <v>70</v>
      </c>
      <c r="D36" s="156"/>
      <c r="E36" s="156"/>
      <c r="F36" s="156"/>
      <c r="G36" s="156"/>
      <c r="H36" s="156"/>
      <c r="I36" s="156"/>
      <c r="J36" s="157"/>
    </row>
    <row r="37" spans="3:12">
      <c r="C37" s="121"/>
      <c r="D37" s="121"/>
      <c r="E37" s="121"/>
      <c r="F37" s="121"/>
      <c r="G37" s="121"/>
      <c r="H37" s="121"/>
      <c r="I37" s="121"/>
    </row>
    <row r="38" spans="3:12">
      <c r="C38" s="121"/>
      <c r="D38" s="121"/>
      <c r="E38" s="121"/>
      <c r="F38" s="121"/>
      <c r="G38" s="121"/>
      <c r="H38" s="121"/>
      <c r="I38" s="121"/>
    </row>
    <row r="39" spans="3:12">
      <c r="C39" s="121"/>
      <c r="D39" s="121"/>
      <c r="E39" s="121"/>
      <c r="F39" s="121"/>
      <c r="G39" s="121"/>
      <c r="H39" s="121"/>
      <c r="I39" s="121"/>
    </row>
    <row r="40" spans="3:12" ht="27" customHeight="1">
      <c r="C40" s="145" t="s">
        <v>104</v>
      </c>
      <c r="D40" s="146"/>
      <c r="E40" s="146"/>
      <c r="F40" s="146"/>
      <c r="G40" s="146"/>
      <c r="H40" s="146"/>
      <c r="I40" s="146"/>
      <c r="J40" s="146"/>
    </row>
    <row r="41" spans="3:12">
      <c r="C41" s="147"/>
      <c r="D41" s="148">
        <v>2007</v>
      </c>
      <c r="E41" s="148">
        <v>2008</v>
      </c>
      <c r="F41" s="149">
        <v>2009</v>
      </c>
      <c r="G41" s="149">
        <v>2010</v>
      </c>
      <c r="H41" s="128" t="s">
        <v>99</v>
      </c>
      <c r="I41" s="128" t="s">
        <v>100</v>
      </c>
      <c r="J41" s="128" t="s">
        <v>101</v>
      </c>
    </row>
    <row r="42" spans="3:12" ht="15.75" thickBot="1">
      <c r="C42" s="150" t="s">
        <v>57</v>
      </c>
      <c r="D42" s="129">
        <f>GETPIVOTDATA("TOTAL GENERAL",'[1]Zonas mensual '!$A$44,"MES","Enero","AÑO",2007)</f>
        <v>407126</v>
      </c>
      <c r="E42" s="129">
        <f>GETPIVOTDATA("turistas",'[1]Zonas mensual '!$A$44,"MES","Enero","AÑO",2008)</f>
        <v>409747</v>
      </c>
      <c r="F42" s="129">
        <f>GETPIVOTDATA("turistas",'[1]Zonas mensual '!$A$44,"MES","Enero","AÑO",2009)</f>
        <v>380730</v>
      </c>
      <c r="G42" s="129">
        <f>GETPIVOTDATA("turistas",'[1]Zonas mensual '!$A$44,"MES","Enero","AÑO",2010)</f>
        <v>382237</v>
      </c>
      <c r="H42" s="151">
        <f>E42/D42-1</f>
        <v>6.4378104075888398E-3</v>
      </c>
      <c r="I42" s="151">
        <f>F42/E42-1</f>
        <v>-7.081686992217151E-2</v>
      </c>
      <c r="J42" s="151">
        <f>G42/F42-1</f>
        <v>3.9581855908386032E-3</v>
      </c>
    </row>
    <row r="43" spans="3:12" ht="16.5" thickBot="1">
      <c r="C43" s="150" t="s">
        <v>58</v>
      </c>
      <c r="D43" s="129">
        <f>GETPIVOTDATA("turistas",'[1]Zonas mensual '!$A$44,"MES","febrero","AÑO",2007)</f>
        <v>423886</v>
      </c>
      <c r="E43" s="129">
        <f>GETPIVOTDATA("turistas",'[1]Zonas mensual '!$A$44,"MES","febrero","AÑO",2008)</f>
        <v>459918</v>
      </c>
      <c r="F43" s="129">
        <f>GETPIVOTDATA("turistas",'[1]Zonas mensual '!$A$44,"MES","febrero","AÑO",2009)</f>
        <v>385582</v>
      </c>
      <c r="G43" s="129">
        <f>GETPIVOTDATA("turistas",'[1]Zonas mensual '!$A$44,"MES","febrero","AÑO",2010)</f>
        <v>369547</v>
      </c>
      <c r="H43" s="151">
        <f t="shared" ref="H43:J53" si="2">E43/D43-1</f>
        <v>8.5003986921011743E-2</v>
      </c>
      <c r="I43" s="151">
        <f t="shared" si="2"/>
        <v>-0.16162881209259039</v>
      </c>
      <c r="J43" s="151">
        <f t="shared" si="2"/>
        <v>-4.1586484846284355E-2</v>
      </c>
      <c r="L43" s="60" t="s">
        <v>49</v>
      </c>
    </row>
    <row r="44" spans="3:12">
      <c r="C44" s="150" t="s">
        <v>59</v>
      </c>
      <c r="D44" s="129">
        <f>GETPIVOTDATA("turistas",'[1]Zonas mensual '!$A$44,"MES","marzo","AÑO",2007)</f>
        <v>489029</v>
      </c>
      <c r="E44" s="129">
        <f>GETPIVOTDATA("turistas",'[1]Zonas mensual '!$A$44,"MES","marzo","AÑO",2008)</f>
        <v>508083</v>
      </c>
      <c r="F44" s="129">
        <f>GETPIVOTDATA("turistas",'[1]Zonas mensual '!$A$44,"MES","marzo","AÑO",2009)</f>
        <v>409508</v>
      </c>
      <c r="G44" s="129">
        <f>GETPIVOTDATA("turistas",'[1]Zonas mensual '!$A$44,"MES","marzo","AÑO",2010)</f>
        <v>404361</v>
      </c>
      <c r="H44" s="151">
        <f t="shared" si="2"/>
        <v>3.8962924489140738E-2</v>
      </c>
      <c r="I44" s="151">
        <f t="shared" si="2"/>
        <v>-0.19401357652194617</v>
      </c>
      <c r="J44" s="151">
        <f t="shared" si="2"/>
        <v>-1.2568741025816399E-2</v>
      </c>
    </row>
    <row r="45" spans="3:12">
      <c r="C45" s="150" t="s">
        <v>45</v>
      </c>
      <c r="D45" s="129">
        <f>GETPIVOTDATA("turistas",'[1]Zonas mensual '!$A$44,"MES","abril","AÑO",2007)</f>
        <v>438237</v>
      </c>
      <c r="E45" s="129">
        <f>GETPIVOTDATA("turistas",'[1]Zonas mensual '!$A$44,"MES","abril","AÑO",2008)</f>
        <v>424514</v>
      </c>
      <c r="F45" s="129">
        <f>GETPIVOTDATA("turistas",'[1]Zonas mensual '!$A$44,"MES","abril","AÑO",2009)</f>
        <v>418430</v>
      </c>
      <c r="G45" s="129">
        <f>GETPIVOTDATA("turistas",'[1]Zonas mensual '!$A$44,"MES","abril","AÑO",2010)</f>
        <v>422549</v>
      </c>
      <c r="H45" s="151">
        <f t="shared" si="2"/>
        <v>-3.1314106294082933E-2</v>
      </c>
      <c r="I45" s="151">
        <f t="shared" si="2"/>
        <v>-1.4331682818470082E-2</v>
      </c>
      <c r="J45" s="151">
        <f t="shared" si="2"/>
        <v>9.8439404440409106E-3</v>
      </c>
    </row>
    <row r="46" spans="3:12">
      <c r="C46" s="150" t="s">
        <v>61</v>
      </c>
      <c r="D46" s="129">
        <f>GETPIVOTDATA("turistas",'[1]Zonas mensual '!$A$44,"MES","mayo","AÑO",2007)</f>
        <v>341553</v>
      </c>
      <c r="E46" s="129">
        <f>GETPIVOTDATA("turistas",'[1]Zonas mensual '!$A$44,"MES","mayo","AÑO",2008)</f>
        <v>413185</v>
      </c>
      <c r="F46" s="129">
        <f>GETPIVOTDATA("turistas",'[1]Zonas mensual '!$A$44,"MES","mayo","AÑO",2009)</f>
        <v>350293</v>
      </c>
      <c r="G46" s="129">
        <f>GETPIVOTDATA("turistas",'[1]Zonas mensual '!$A$44,"MES","mayo","AÑO",2010)</f>
        <v>361297</v>
      </c>
      <c r="H46" s="151">
        <f t="shared" si="2"/>
        <v>0.20972440587551566</v>
      </c>
      <c r="I46" s="151">
        <f t="shared" si="2"/>
        <v>-0.152212689231216</v>
      </c>
      <c r="J46" s="151">
        <f t="shared" si="2"/>
        <v>3.1413702243550334E-2</v>
      </c>
    </row>
    <row r="47" spans="3:12">
      <c r="C47" s="150" t="s">
        <v>62</v>
      </c>
      <c r="D47" s="129">
        <f>GETPIVOTDATA("turistas",'[1]Zonas mensual '!$A$44,"MES","junio","AÑO",2007)</f>
        <v>411483</v>
      </c>
      <c r="E47" s="129">
        <f>GETPIVOTDATA("turistas",'[1]Zonas mensual '!$A$44,"MES","junio","AÑO",2008)</f>
        <v>402431</v>
      </c>
      <c r="F47" s="129">
        <f>GETPIVOTDATA("turistas",'[1]Zonas mensual '!$A$44,"MES","junio","AÑO",2009)</f>
        <v>349858</v>
      </c>
      <c r="G47" s="129">
        <f>GETPIVOTDATA("turistas",'[1]Zonas mensual '!$A$44,"MES","junio","AÑO",2010)</f>
        <v>374943</v>
      </c>
      <c r="H47" s="151">
        <f t="shared" si="2"/>
        <v>-2.1998478673481037E-2</v>
      </c>
      <c r="I47" s="151">
        <f t="shared" si="2"/>
        <v>-0.13063854424733679</v>
      </c>
      <c r="J47" s="151">
        <f t="shared" si="2"/>
        <v>7.1700518496075505E-2</v>
      </c>
    </row>
    <row r="48" spans="3:12">
      <c r="C48" s="150" t="s">
        <v>63</v>
      </c>
      <c r="D48" s="129">
        <f>GETPIVOTDATA("turistas",'[1]Zonas mensual '!$A$44,"MES","julio","AÑO",2007)</f>
        <v>466179</v>
      </c>
      <c r="E48" s="129">
        <f>GETPIVOTDATA("turistas",'[1]Zonas mensual '!$A$44,"MES","julio","AÑO",2008)</f>
        <v>467525</v>
      </c>
      <c r="F48" s="129">
        <f>GETPIVOTDATA("turistas",'[1]Zonas mensual '!$A$44,"MES","julio","AÑO",2009)</f>
        <v>434195</v>
      </c>
      <c r="G48" s="129">
        <f>GETPIVOTDATA("turistas",'[1]Zonas mensual '!$A$44,"MES","julio","AÑO",2010)</f>
        <v>451259</v>
      </c>
      <c r="H48" s="151">
        <f t="shared" si="2"/>
        <v>2.8873029458640342E-3</v>
      </c>
      <c r="I48" s="151">
        <f>F48/E48-1</f>
        <v>-7.129030533126568E-2</v>
      </c>
      <c r="J48" s="151">
        <f t="shared" si="2"/>
        <v>3.9300314374877576E-2</v>
      </c>
    </row>
    <row r="49" spans="3:10">
      <c r="C49" s="150" t="s">
        <v>64</v>
      </c>
      <c r="D49" s="129">
        <f>GETPIVOTDATA("turistas",'[1]Zonas mensual '!$A$44,"MES","agosto","AÑO",2007)</f>
        <v>528592</v>
      </c>
      <c r="E49" s="129">
        <f>GETPIVOTDATA("turistas",'[1]Zonas mensual '!$A$44,"MES","agosto","AÑO",2008)</f>
        <v>531765</v>
      </c>
      <c r="F49" s="129">
        <f>GETPIVOTDATA("turistas",'[1]Zonas mensual '!$A$44,"MES","agosto","AÑO",2009)</f>
        <v>467782</v>
      </c>
      <c r="G49" s="129">
        <f>GETPIVOTDATA("turistas",'[1]Zonas mensual '!$A$44,"MES","agosto","AÑO",2010)</f>
        <v>0</v>
      </c>
      <c r="H49" s="151">
        <f t="shared" si="2"/>
        <v>6.0027393528467865E-3</v>
      </c>
      <c r="I49" s="151">
        <f>F49/E49-1</f>
        <v>-0.12032194672458696</v>
      </c>
      <c r="J49" s="151"/>
    </row>
    <row r="50" spans="3:10">
      <c r="C50" s="150" t="s">
        <v>65</v>
      </c>
      <c r="D50" s="129">
        <f>GETPIVOTDATA("turistas",'[1]Zonas mensual '!$A$44,"MES","septiembre","AÑO",2007)</f>
        <v>409689</v>
      </c>
      <c r="E50" s="129">
        <f>GETPIVOTDATA("turistas",'[1]Zonas mensual '!$A$44,"MES","septiembre","AÑO",2008)</f>
        <v>391359</v>
      </c>
      <c r="F50" s="129">
        <f>GETPIVOTDATA("turistas",'[1]Zonas mensual '!$A$44,"MES","septiembre","AÑO",2009)</f>
        <v>354214</v>
      </c>
      <c r="G50" s="129">
        <f>GETPIVOTDATA("turistas",'[1]Zonas mensual '!$A$44,"MES","septiembre","AÑO",2010)</f>
        <v>0</v>
      </c>
      <c r="H50" s="151">
        <f t="shared" si="2"/>
        <v>-4.4741254951926934E-2</v>
      </c>
      <c r="I50" s="151">
        <f t="shared" si="2"/>
        <v>-9.4912854949036563E-2</v>
      </c>
      <c r="J50" s="151"/>
    </row>
    <row r="51" spans="3:10">
      <c r="C51" s="150" t="s">
        <v>66</v>
      </c>
      <c r="D51" s="129">
        <f>GETPIVOTDATA("turistas",'[1]Zonas mensual '!$A$44,"MES","octubre","AÑO",2007)</f>
        <v>467144</v>
      </c>
      <c r="E51" s="129">
        <f>GETPIVOTDATA("turistas",'[1]Zonas mensual '!$A$44,"MES","octubre","AÑO",2008)</f>
        <v>441857</v>
      </c>
      <c r="F51" s="129">
        <f>GETPIVOTDATA("turistas",'[1]Zonas mensual '!$A$44,"MES","octubre","AÑO",2009)</f>
        <v>404871</v>
      </c>
      <c r="G51" s="129">
        <f>GETPIVOTDATA("turistas",'[1]Zonas mensual '!$A$44,"MES","octubre","AÑO",2010)</f>
        <v>0</v>
      </c>
      <c r="H51" s="151">
        <f t="shared" si="2"/>
        <v>-5.4131060229822059E-2</v>
      </c>
      <c r="I51" s="151">
        <f t="shared" si="2"/>
        <v>-8.3705814324543937E-2</v>
      </c>
      <c r="J51" s="151"/>
    </row>
    <row r="52" spans="3:10">
      <c r="C52" s="150" t="s">
        <v>67</v>
      </c>
      <c r="D52" s="129">
        <f>GETPIVOTDATA("turistas",'[1]Zonas mensual '!$A$44,"MES","noviembre","AÑO",2007)</f>
        <v>457530</v>
      </c>
      <c r="E52" s="129">
        <f>GETPIVOTDATA("turistas",'[1]Zonas mensual '!$A$44,"MES","noviembre","AÑO",2008)</f>
        <v>431740</v>
      </c>
      <c r="F52" s="129">
        <f>GETPIVOTDATA("turistas",'[1]Zonas mensual '!$A$44,"MES","noviembre","AÑO",2009)</f>
        <v>371802</v>
      </c>
      <c r="G52" s="129">
        <f>GETPIVOTDATA("turistas",'[1]Zonas mensual '!$A$44,"MES","noviembre","AÑO",2010)</f>
        <v>0</v>
      </c>
      <c r="H52" s="151">
        <f t="shared" si="2"/>
        <v>-5.6367888444473602E-2</v>
      </c>
      <c r="I52" s="151">
        <f t="shared" si="2"/>
        <v>-0.1388289248158614</v>
      </c>
      <c r="J52" s="151"/>
    </row>
    <row r="53" spans="3:10">
      <c r="C53" s="150" t="s">
        <v>68</v>
      </c>
      <c r="D53" s="129">
        <f>GETPIVOTDATA("turistas",'[1]Zonas mensual '!$A$44,"MES","diciembre","AÑO",2007)</f>
        <v>438336</v>
      </c>
      <c r="E53" s="129">
        <f>GETPIVOTDATA("turistas",'[1]Zonas mensual '!$A$44,"MES","diciembre","AÑO",2008)</f>
        <v>410203</v>
      </c>
      <c r="F53" s="129">
        <f>GETPIVOTDATA("turistas",'[1]Zonas mensual '!$A$44,"MES","diciembre","AÑO",2009)</f>
        <v>380517</v>
      </c>
      <c r="G53" s="129">
        <f>GETPIVOTDATA("turistas",'[1]Zonas mensual '!$A$44,"MES","diciembre","AÑO",2010)</f>
        <v>0</v>
      </c>
      <c r="H53" s="151">
        <f t="shared" si="2"/>
        <v>-6.4181358592495297E-2</v>
      </c>
      <c r="I53" s="151">
        <f t="shared" si="2"/>
        <v>-7.2369046545247118E-2</v>
      </c>
      <c r="J53" s="151"/>
    </row>
    <row r="54" spans="3:10">
      <c r="C54" s="152" t="s">
        <v>102</v>
      </c>
      <c r="D54" s="153">
        <f>SUM(D42:D53)</f>
        <v>5278784</v>
      </c>
      <c r="E54" s="153">
        <f>SUM(E42:E53)</f>
        <v>5292327</v>
      </c>
      <c r="F54" s="153">
        <f>SUM(F42:F53)</f>
        <v>4707782</v>
      </c>
      <c r="G54" s="153">
        <f>SUM(G42:G53)</f>
        <v>2766193</v>
      </c>
      <c r="H54" s="154">
        <f>E54/D54-1</f>
        <v>2.5655529758368267E-3</v>
      </c>
      <c r="I54" s="154"/>
      <c r="J54" s="154"/>
    </row>
    <row r="55" spans="3:10" ht="24" customHeight="1">
      <c r="C55" s="155" t="s">
        <v>70</v>
      </c>
      <c r="D55" s="156"/>
      <c r="E55" s="156"/>
      <c r="F55" s="156"/>
      <c r="G55" s="156"/>
      <c r="H55" s="156"/>
      <c r="I55" s="156"/>
      <c r="J55" s="157"/>
    </row>
  </sheetData>
  <mergeCells count="6">
    <mergeCell ref="C3:J3"/>
    <mergeCell ref="C18:J18"/>
    <mergeCell ref="C21:J21"/>
    <mergeCell ref="C36:J36"/>
    <mergeCell ref="C40:J40"/>
    <mergeCell ref="C55:J55"/>
  </mergeCells>
  <hyperlinks>
    <hyperlink ref="L3" location="'grafica zona mensual'!A1" tooltip="GRAFICA" display="GRAFICA"/>
    <hyperlink ref="L22" location="'grafica zona mensual'!A1" tooltip="GRAFICA" display="GRAFICA"/>
    <hyperlink ref="L43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7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K24:K63"/>
  <sheetViews>
    <sheetView showGridLines="0" showRowColHeaders="0" zoomScaleNormal="100" workbookViewId="0">
      <selection activeCell="B25" sqref="B25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60" t="s">
        <v>51</v>
      </c>
    </row>
    <row r="42" spans="11:11" ht="15.75" thickBot="1"/>
    <row r="43" spans="11:11" ht="16.5" thickBot="1">
      <c r="K43" s="60" t="s">
        <v>51</v>
      </c>
    </row>
    <row r="62" spans="11:11" ht="15.75" thickBot="1"/>
    <row r="63" spans="11:11" ht="16.5" thickBot="1">
      <c r="K63" s="60" t="s">
        <v>51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4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C2:R58"/>
  <sheetViews>
    <sheetView showGridLines="0" showRowColHeaders="0" showZeros="0" zoomScaleNormal="100" workbookViewId="0">
      <selection activeCell="B25" sqref="B25"/>
    </sheetView>
  </sheetViews>
  <sheetFormatPr baseColWidth="10" defaultRowHeight="15"/>
  <cols>
    <col min="1" max="1" width="16.140625" customWidth="1"/>
    <col min="3" max="3" width="13.5703125" customWidth="1"/>
    <col min="5" max="5" width="13.42578125" customWidth="1"/>
    <col min="8" max="8" width="13.7109375" customWidth="1"/>
    <col min="14" max="14" width="13.28515625" customWidth="1"/>
  </cols>
  <sheetData>
    <row r="2" spans="3:18" ht="52.5" customHeight="1"/>
    <row r="3" spans="3:18" ht="24.75" customHeight="1">
      <c r="C3" s="145" t="s">
        <v>98</v>
      </c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</row>
    <row r="4" spans="3:18">
      <c r="C4" s="158"/>
      <c r="D4" s="159">
        <v>2008</v>
      </c>
      <c r="E4" s="159"/>
      <c r="F4" s="159"/>
      <c r="G4" s="159">
        <v>2009</v>
      </c>
      <c r="H4" s="159"/>
      <c r="I4" s="159"/>
      <c r="J4" s="159">
        <v>2010</v>
      </c>
      <c r="K4" s="159"/>
      <c r="L4" s="159"/>
      <c r="M4" s="159" t="s">
        <v>105</v>
      </c>
      <c r="N4" s="159"/>
      <c r="O4" s="159"/>
      <c r="P4" s="159" t="s">
        <v>106</v>
      </c>
      <c r="Q4" s="159"/>
      <c r="R4" s="159"/>
    </row>
    <row r="5" spans="3:18" ht="45">
      <c r="C5" s="158"/>
      <c r="D5" s="128" t="s">
        <v>34</v>
      </c>
      <c r="E5" s="128" t="s">
        <v>95</v>
      </c>
      <c r="F5" s="128" t="s">
        <v>107</v>
      </c>
      <c r="G5" s="128" t="s">
        <v>34</v>
      </c>
      <c r="H5" s="128" t="s">
        <v>95</v>
      </c>
      <c r="I5" s="128" t="s">
        <v>107</v>
      </c>
      <c r="J5" s="128" t="s">
        <v>34</v>
      </c>
      <c r="K5" s="128" t="s">
        <v>95</v>
      </c>
      <c r="L5" s="128" t="s">
        <v>107</v>
      </c>
      <c r="M5" s="128" t="s">
        <v>108</v>
      </c>
      <c r="N5" s="128" t="s">
        <v>109</v>
      </c>
      <c r="O5" s="128" t="s">
        <v>110</v>
      </c>
      <c r="P5" s="128" t="s">
        <v>108</v>
      </c>
      <c r="Q5" s="128" t="s">
        <v>109</v>
      </c>
      <c r="R5" s="128" t="s">
        <v>110</v>
      </c>
    </row>
    <row r="6" spans="3:18">
      <c r="C6" s="150" t="s">
        <v>57</v>
      </c>
      <c r="D6" s="129">
        <f>GETPIVOTDATA("dato",'[1]Evolución mensual zonas y categ'!$A$4,"categoría","Hoteleros","mes",1,"año",2008)</f>
        <v>92646</v>
      </c>
      <c r="E6" s="129">
        <f>GETPIVOTDATA("dato",'[1]Evolución mensual zonas y categ'!$A$4,"categoría","EXTRAHOTELEROS","mes",1,"año",2008)</f>
        <v>54485</v>
      </c>
      <c r="F6" s="129">
        <f>GETPIVOTDATA("dato",'[1]Evolución mensual zonas y categ'!$A$4,"categoría","TOTAL","mes",1,"año",2008)</f>
        <v>147131</v>
      </c>
      <c r="G6" s="129">
        <f>GETPIVOTDATA("dato",'[1]Evolución mensual zonas y categ'!$A$4,"categoría","Hoteleros","mes",1,"año",2009)</f>
        <v>83242</v>
      </c>
      <c r="H6" s="129">
        <f>GETPIVOTDATA("dato",'[1]Evolución mensual zonas y categ'!$A$4,"categoría","EXTRAHOTELEROS","mes",1,"año",2009)</f>
        <v>53102</v>
      </c>
      <c r="I6" s="129">
        <f>GETPIVOTDATA("dato",'[1]Evolución mensual zonas y categ'!$A$4,"categoría","TOTAL","mes",1,"año",2009)</f>
        <v>136344</v>
      </c>
      <c r="J6" s="129">
        <f>GETPIVOTDATA("dato",'[1]Evolución mensual zonas y categ'!$A$4,"categoría","Hoteleros","mes",1,"año",2010)</f>
        <v>85215</v>
      </c>
      <c r="K6" s="129">
        <f>GETPIVOTDATA("dato",'[1]Evolución mensual zonas y categ'!$A$4,"categoría","EXTRAHOTELEROS","mes",1,"año",2010)</f>
        <v>46322</v>
      </c>
      <c r="L6" s="129">
        <f>GETPIVOTDATA("dato",'[1]Evolución mensual zonas y categ'!$A$4,"categoría","TOTAL","mes",1,"año",2010)</f>
        <v>131537</v>
      </c>
      <c r="M6" s="151">
        <f t="shared" ref="M6:N18" si="0">G6/D6-1</f>
        <v>-0.10150465211665916</v>
      </c>
      <c r="N6" s="151">
        <f>H6/E6-1</f>
        <v>-2.5383132972377709E-2</v>
      </c>
      <c r="O6" s="151">
        <f t="shared" ref="O6:R18" si="1">I6/F6-1</f>
        <v>-7.3315616695325936E-2</v>
      </c>
      <c r="P6" s="151">
        <f t="shared" si="1"/>
        <v>2.3701977367194482E-2</v>
      </c>
      <c r="Q6" s="151">
        <f t="shared" si="1"/>
        <v>-0.12767880682460175</v>
      </c>
      <c r="R6" s="151">
        <f t="shared" si="1"/>
        <v>-3.5256410256410242E-2</v>
      </c>
    </row>
    <row r="7" spans="3:18">
      <c r="C7" s="150" t="s">
        <v>58</v>
      </c>
      <c r="D7" s="129">
        <f>GETPIVOTDATA("dato",'[1]Evolución mensual zonas y categ'!$A$4,"categoría","Hoteleros","mes",2,"año",2008)</f>
        <v>104521</v>
      </c>
      <c r="E7" s="129">
        <f>GETPIVOTDATA("dato",'[1]Evolución mensual zonas y categ'!$A$4,"categoría","EXTRAHOTELEROS","mes",2,"año",2008)</f>
        <v>63733</v>
      </c>
      <c r="F7" s="129">
        <f>GETPIVOTDATA("dato",'[1]Evolución mensual zonas y categ'!$A$4,"categoría","TOTAL","mes",2,"año",2008)</f>
        <v>168254</v>
      </c>
      <c r="G7" s="129">
        <f>GETPIVOTDATA("dato",'[1]Evolución mensual zonas y categ'!$A$4,"categoría","Hoteleros","mes",2,"año",2009)</f>
        <v>83781</v>
      </c>
      <c r="H7" s="129">
        <f>GETPIVOTDATA("dato",'[1]Evolución mensual zonas y categ'!$A$4,"categoría","EXTRAHOTELEROS","mes",2,"año",2009)</f>
        <v>50011</v>
      </c>
      <c r="I7" s="129">
        <f>GETPIVOTDATA("dato",'[1]Evolución mensual zonas y categ'!$A$4,"categoría","TOTAL","mes",2,"año",2009)</f>
        <v>133792</v>
      </c>
      <c r="J7" s="129">
        <f>GETPIVOTDATA("dato",'[1]Evolución mensual zonas y categ'!$A$4,"categoría","Hoteleros","mes",2,"año",2010)</f>
        <v>82016</v>
      </c>
      <c r="K7" s="129">
        <f>GETPIVOTDATA("dato",'[1]Evolución mensual zonas y categ'!$A$4,"categoría","EXTRAHOTELEROS","mes",2,"año",2010)</f>
        <v>43403</v>
      </c>
      <c r="L7" s="129">
        <f>GETPIVOTDATA("dato",'[1]Evolución mensual zonas y categ'!$A$4,"categoría","TOTAL","mes",2,"año",2010)</f>
        <v>125419</v>
      </c>
      <c r="M7" s="151">
        <f t="shared" si="0"/>
        <v>-0.19842902383253125</v>
      </c>
      <c r="N7" s="151">
        <f>H7/E7-1</f>
        <v>-0.215304473349756</v>
      </c>
      <c r="O7" s="151">
        <f t="shared" si="1"/>
        <v>-0.20482128210919204</v>
      </c>
      <c r="P7" s="151">
        <f t="shared" si="1"/>
        <v>-2.1066828994640741E-2</v>
      </c>
      <c r="Q7" s="151">
        <f t="shared" si="1"/>
        <v>-0.13213093119513708</v>
      </c>
      <c r="R7" s="151">
        <f t="shared" si="1"/>
        <v>-6.2582217172925114E-2</v>
      </c>
    </row>
    <row r="8" spans="3:18">
      <c r="C8" s="150" t="s">
        <v>59</v>
      </c>
      <c r="D8" s="129">
        <f>GETPIVOTDATA("dato",'[1]Evolución mensual zonas y categ'!$A$4,"categoría","Hoteleros","mes",3,"año",2008)</f>
        <v>117674</v>
      </c>
      <c r="E8" s="129">
        <f>GETPIVOTDATA("dato",'[1]Evolución mensual zonas y categ'!$A$4,"categoría","EXTRAHOTELEROS","mes",3,"año",2008)</f>
        <v>65773</v>
      </c>
      <c r="F8" s="129">
        <f>GETPIVOTDATA("dato",'[1]Evolución mensual zonas y categ'!$A$4,"categoría","TOTAL","mes",3,"año",2008)</f>
        <v>183447</v>
      </c>
      <c r="G8" s="129">
        <f>GETPIVOTDATA("dato",'[1]Evolución mensual zonas y categ'!$A$4,"categoría","Hoteleros","mes",3,"año",2009)</f>
        <v>85131</v>
      </c>
      <c r="H8" s="129">
        <f>GETPIVOTDATA("dato",'[1]Evolución mensual zonas y categ'!$A$4,"categoría","EXTRAHOTELEROS","mes",3,"año",2009)</f>
        <v>49940</v>
      </c>
      <c r="I8" s="129">
        <f>GETPIVOTDATA("dato",'[1]Evolución mensual zonas y categ'!$A$4,"categoría","TOTAL","mes",3,"año",2009)</f>
        <v>135071</v>
      </c>
      <c r="J8" s="129">
        <f>GETPIVOTDATA("dato",'[1]Evolución mensual zonas y categ'!$A$4,"categoría","Hoteleros","mes",3,"año",2010)</f>
        <v>90580</v>
      </c>
      <c r="K8" s="129">
        <f>GETPIVOTDATA("dato",'[1]Evolución mensual zonas y categ'!$A$4,"categoría","EXTRAHOTELEROS","mes",3,"año",2010)</f>
        <v>49749</v>
      </c>
      <c r="L8" s="129">
        <f>GETPIVOTDATA("dato",'[1]Evolución mensual zonas y categ'!$A$4,"categoría","TOTAL","mes",3,"año",2010)</f>
        <v>140329</v>
      </c>
      <c r="M8" s="151">
        <f t="shared" si="0"/>
        <v>-0.2765521695531723</v>
      </c>
      <c r="N8" s="151">
        <f>H8/E8-1</f>
        <v>-0.24072187675794021</v>
      </c>
      <c r="O8" s="151">
        <f t="shared" si="1"/>
        <v>-0.2637055934411574</v>
      </c>
      <c r="P8" s="151">
        <f t="shared" si="1"/>
        <v>6.4007235907013849E-2</v>
      </c>
      <c r="Q8" s="151">
        <f t="shared" si="1"/>
        <v>-3.8245895074089375E-3</v>
      </c>
      <c r="R8" s="151">
        <f t="shared" si="1"/>
        <v>3.8927675074590384E-2</v>
      </c>
    </row>
    <row r="9" spans="3:18">
      <c r="C9" s="150" t="s">
        <v>45</v>
      </c>
      <c r="D9" s="129">
        <f>GETPIVOTDATA("dato",'[1]Evolución mensual zonas y categ'!$A$4,"categoría","Hoteleros","mes",4,"año",2008)</f>
        <v>102558</v>
      </c>
      <c r="E9" s="129">
        <f>GETPIVOTDATA("dato",'[1]Evolución mensual zonas y categ'!$A$4,"categoría","EXTRAHOTELEROS","mes",4,"año",2008)</f>
        <v>51464</v>
      </c>
      <c r="F9" s="129">
        <f>GETPIVOTDATA("dato",'[1]Evolución mensual zonas y categ'!$A$4,"categoría","TOTAL","mes",4,"año",2008)</f>
        <v>154022</v>
      </c>
      <c r="G9" s="129">
        <f>GETPIVOTDATA("dato",'[1]Evolución mensual zonas y categ'!$A$4,"categoría","Hoteleros","mes",4,"año",2009)</f>
        <v>91144</v>
      </c>
      <c r="H9" s="129">
        <f>GETPIVOTDATA("dato",'[1]Evolución mensual zonas y categ'!$A$4,"categoría","EXTRAHOTELEROS","mes",4,"año",2009)</f>
        <v>51883</v>
      </c>
      <c r="I9" s="129">
        <f>GETPIVOTDATA("dato",'[1]Evolución mensual zonas y categ'!$A$4,"categoría","TOTAL","mes",4,"año",2009)</f>
        <v>143027</v>
      </c>
      <c r="J9" s="129">
        <f>GETPIVOTDATA("dato",'[1]Evolución mensual zonas y categ'!$A$4,"categoría","Hoteleros","mes",4,"año",2010)</f>
        <v>102877</v>
      </c>
      <c r="K9" s="129">
        <f>GETPIVOTDATA("dato",'[1]Evolución mensual zonas y categ'!$A$4,"categoría","EXTRAHOTELEROS","mes",4,"año",2010)</f>
        <v>53734</v>
      </c>
      <c r="L9" s="129">
        <f>GETPIVOTDATA("dato",'[1]Evolución mensual zonas y categ'!$A$4,"categoría","TOTAL","mes",4,"año",2010)</f>
        <v>156611</v>
      </c>
      <c r="M9" s="151">
        <f t="shared" si="0"/>
        <v>-0.11129312194075547</v>
      </c>
      <c r="N9" s="151">
        <f>H9/E9-1</f>
        <v>8.1416135551064528E-3</v>
      </c>
      <c r="O9" s="151">
        <f t="shared" si="1"/>
        <v>-7.1385905909545411E-2</v>
      </c>
      <c r="P9" s="151">
        <f t="shared" si="1"/>
        <v>0.12873036074782762</v>
      </c>
      <c r="Q9" s="151">
        <f t="shared" si="1"/>
        <v>3.5676425804213263E-2</v>
      </c>
      <c r="R9" s="151">
        <f t="shared" si="1"/>
        <v>9.4975074636257428E-2</v>
      </c>
    </row>
    <row r="10" spans="3:18">
      <c r="C10" s="150" t="s">
        <v>61</v>
      </c>
      <c r="D10" s="129">
        <f>GETPIVOTDATA("dato",'[1]Evolución mensual zonas y categ'!$A$4,"categoría","Hoteleros","mes",5,"año",2008)</f>
        <v>103754</v>
      </c>
      <c r="E10" s="129">
        <f>GETPIVOTDATA("dato",'[1]Evolución mensual zonas y categ'!$A$4,"categoría","EXTRAHOTELEROS","mes",5,"año",2008)</f>
        <v>49751</v>
      </c>
      <c r="F10" s="129">
        <f>GETPIVOTDATA("dato",'[1]Evolución mensual zonas y categ'!$A$4,"categoría","TOTAL","mes",5,"año",2008)</f>
        <v>153505</v>
      </c>
      <c r="G10" s="129">
        <f>GETPIVOTDATA("dato",'[1]Evolución mensual zonas y categ'!$A$4,"categoría","Hoteleros","mes",5,"año",2009)</f>
        <v>84335</v>
      </c>
      <c r="H10" s="129">
        <f>GETPIVOTDATA("dato",'[1]Evolución mensual zonas y categ'!$A$4,"categoría","EXTRAHOTELEROS","mes",5,"año",2009)</f>
        <v>39550</v>
      </c>
      <c r="I10" s="129">
        <f>GETPIVOTDATA("dato",'[1]Evolución mensual zonas y categ'!$A$4,"categoría","TOTAL","mes",5,"año",2009)</f>
        <v>123885</v>
      </c>
      <c r="J10" s="129">
        <f>GETPIVOTDATA("dato",'[1]Evolución mensual zonas y categ'!$A$4,"categoría","Hoteleros","mes",5,"año",2010)</f>
        <v>92640</v>
      </c>
      <c r="K10" s="129">
        <f>GETPIVOTDATA("dato",'[1]Evolución mensual zonas y categ'!$A$4,"categoría","EXTRAHOTELEROS","mes",5,"año",2010)</f>
        <v>39879</v>
      </c>
      <c r="L10" s="129">
        <f>GETPIVOTDATA("dato",'[1]Evolución mensual zonas y categ'!$A$4,"categoría","TOTAL","mes",5,"año",2010)</f>
        <v>132519</v>
      </c>
      <c r="M10" s="151">
        <f t="shared" si="0"/>
        <v>-0.18716386838097809</v>
      </c>
      <c r="N10" s="151">
        <f>H10/E10-1</f>
        <v>-0.20504110470141301</v>
      </c>
      <c r="O10" s="151">
        <f t="shared" si="1"/>
        <v>-0.19295788410800951</v>
      </c>
      <c r="P10" s="151">
        <f t="shared" si="1"/>
        <v>9.8476314697337974E-2</v>
      </c>
      <c r="Q10" s="151">
        <f t="shared" si="1"/>
        <v>8.318584070796442E-3</v>
      </c>
      <c r="R10" s="151">
        <f t="shared" si="1"/>
        <v>6.9693667514227009E-2</v>
      </c>
    </row>
    <row r="11" spans="3:18">
      <c r="C11" s="150" t="s">
        <v>62</v>
      </c>
      <c r="D11" s="129">
        <f>GETPIVOTDATA("dato",'[1]Evolución mensual zonas y categ'!$A$4,"categoría","Hoteleros","mes",6,"año",2008)</f>
        <v>98741</v>
      </c>
      <c r="E11" s="129">
        <f>GETPIVOTDATA("dato",'[1]Evolución mensual zonas y categ'!$A$4,"categoría","EXTRAHOTELEROS","mes",6,"año",2008)</f>
        <v>47622</v>
      </c>
      <c r="F11" s="129">
        <f>GETPIVOTDATA("dato",'[1]Evolución mensual zonas y categ'!$A$4,"categoría","TOTAL","mes",6,"año",2008)</f>
        <v>146363</v>
      </c>
      <c r="G11" s="129">
        <f>GETPIVOTDATA("dato",'[1]Evolución mensual zonas y categ'!$A$4,"categoría","Hoteleros","mes",6,"año",2009)</f>
        <v>79842</v>
      </c>
      <c r="H11" s="129">
        <f>GETPIVOTDATA("dato",'[1]Evolución mensual zonas y categ'!$A$4,"categoría","EXTRAHOTELEROS","mes",6,"año",2009)</f>
        <v>41545</v>
      </c>
      <c r="I11" s="129">
        <f>GETPIVOTDATA("dato",'[1]Evolución mensual zonas y categ'!$A$4,"categoría","TOTAL","mes",6,"año",2009)</f>
        <v>121387</v>
      </c>
      <c r="J11" s="129">
        <f>GETPIVOTDATA("dato",'[1]Evolución mensual zonas y categ'!$A$4,"categoría","Hoteleros","mes",6,"año",2010)</f>
        <v>86210</v>
      </c>
      <c r="K11" s="129">
        <f>GETPIVOTDATA("dato",'[1]Evolución mensual zonas y categ'!$A$4,"categoría","EXTRAHOTELEROS","mes",6,"año",2010)</f>
        <v>42687</v>
      </c>
      <c r="L11" s="129">
        <f>GETPIVOTDATA("dato",'[1]Evolución mensual zonas y categ'!$A$4,"categoría","TOTAL","mes",6,"año",2010)</f>
        <v>128897</v>
      </c>
      <c r="M11" s="151">
        <f t="shared" si="0"/>
        <v>-0.19139972250635506</v>
      </c>
      <c r="N11" s="151">
        <f t="shared" si="0"/>
        <v>-0.12760908823652939</v>
      </c>
      <c r="O11" s="151">
        <f t="shared" si="1"/>
        <v>-0.17064422019226166</v>
      </c>
      <c r="P11" s="151">
        <f t="shared" si="1"/>
        <v>7.9757521104180773E-2</v>
      </c>
      <c r="Q11" s="151">
        <f t="shared" si="1"/>
        <v>2.748826573594898E-2</v>
      </c>
      <c r="R11" s="151">
        <f t="shared" si="1"/>
        <v>6.1868239597320906E-2</v>
      </c>
    </row>
    <row r="12" spans="3:18">
      <c r="C12" s="150" t="s">
        <v>63</v>
      </c>
      <c r="D12" s="129">
        <f>GETPIVOTDATA("dato",'[1]Evolución mensual zonas y categ'!$A$4,"categoría","Hoteleros","mes",7,"año",2008)</f>
        <v>102716</v>
      </c>
      <c r="E12" s="129">
        <f>GETPIVOTDATA("dato",'[1]Evolución mensual zonas y categ'!$A$4,"categoría","EXTRAHOTELEROS","mes",7,"año",2008)</f>
        <v>58557</v>
      </c>
      <c r="F12" s="129">
        <f>GETPIVOTDATA("dato",'[1]Evolución mensual zonas y categ'!$A$4,"categoría","TOTAL","mes",7,"año",2008)</f>
        <v>161273</v>
      </c>
      <c r="G12" s="129">
        <f>GETPIVOTDATA("dato",'[1]Evolución mensual zonas y categ'!$A$4,"categoría","Hoteleros","mes",7,"año",2009)</f>
        <v>97923</v>
      </c>
      <c r="H12" s="129">
        <f>GETPIVOTDATA("dato",'[1]Evolución mensual zonas y categ'!$A$4,"categoría","EXTRAHOTELEROS","mes",7,"año",2009)</f>
        <v>54409</v>
      </c>
      <c r="I12" s="129">
        <f>GETPIVOTDATA("dato",'[1]Evolución mensual zonas y categ'!$A$4,"categoría","TOTAL","mes",7,"año",2009)</f>
        <v>152332</v>
      </c>
      <c r="J12" s="129">
        <f>GETPIVOTDATA("dato",'[1]Evolución mensual zonas y categ'!$A$4,"categoría","Hoteleros","mes",7,"año",2010)</f>
        <v>104585</v>
      </c>
      <c r="K12" s="129">
        <f>GETPIVOTDATA("dato",'[1]Evolución mensual zonas y categ'!$A$4,"categoría","EXTRAHOTELEROS","mes",7,"año",2010)</f>
        <v>58786</v>
      </c>
      <c r="L12" s="129">
        <f>GETPIVOTDATA("dato",'[1]Evolución mensual zonas y categ'!$A$4,"categoría","TOTAL","mes",7,"año",2010)</f>
        <v>163371</v>
      </c>
      <c r="M12" s="151">
        <f t="shared" si="0"/>
        <v>-4.6662642626270512E-2</v>
      </c>
      <c r="N12" s="151">
        <f t="shared" si="0"/>
        <v>-7.0836962276072835E-2</v>
      </c>
      <c r="O12" s="151">
        <f t="shared" si="1"/>
        <v>-5.5440154272568876E-2</v>
      </c>
      <c r="P12" s="151">
        <f t="shared" si="1"/>
        <v>6.8033046373170647E-2</v>
      </c>
      <c r="Q12" s="151">
        <f t="shared" si="1"/>
        <v>8.044624970133607E-2</v>
      </c>
      <c r="R12" s="151">
        <f t="shared" si="1"/>
        <v>7.2466717432975392E-2</v>
      </c>
    </row>
    <row r="13" spans="3:18">
      <c r="C13" s="150" t="s">
        <v>64</v>
      </c>
      <c r="D13" s="129">
        <f>GETPIVOTDATA("dato",'[1]Evolución mensual zonas y categ'!$A$4,"categoría","Hoteleros","mes",8,"año",2008)</f>
        <v>115139</v>
      </c>
      <c r="E13" s="129">
        <f>GETPIVOTDATA("dato",'[1]Evolución mensual zonas y categ'!$A$4,"categoría","EXTRAHOTELEROS","mes",8,"año",2008)</f>
        <v>72859</v>
      </c>
      <c r="F13" s="129">
        <f>GETPIVOTDATA("dato",'[1]Evolución mensual zonas y categ'!$A$4,"categoría","TOTAL","mes",8,"año",2008)</f>
        <v>187998</v>
      </c>
      <c r="G13" s="129">
        <f>GETPIVOTDATA("dato",'[1]Evolución mensual zonas y categ'!$A$4,"categoría","Hoteleros","mes",8,"año",2009)</f>
        <v>102995</v>
      </c>
      <c r="H13" s="129">
        <f>GETPIVOTDATA("dato",'[1]Evolución mensual zonas y categ'!$A$4,"categoría","EXTRAHOTELEROS","mes",8,"año",2009)</f>
        <v>67265</v>
      </c>
      <c r="I13" s="129">
        <f>GETPIVOTDATA("dato",'[1]Evolución mensual zonas y categ'!$A$4,"categoría","TOTAL","mes",8,"año",2009)</f>
        <v>170260</v>
      </c>
      <c r="J13" s="129">
        <f>GETPIVOTDATA("dato",'[1]Evolución mensual zonas y categ'!$A$4,"categoría","Hoteleros","mes",8,"año",2010)</f>
        <v>0</v>
      </c>
      <c r="K13" s="129">
        <f>GETPIVOTDATA("dato",'[1]Evolución mensual zonas y categ'!$A$4,"categoría","EXTRAHOTELEROS","mes",8,"año",2010)</f>
        <v>0</v>
      </c>
      <c r="L13" s="129">
        <f>GETPIVOTDATA("dato",'[1]Evolución mensual zonas y categ'!$A$4,"categoría","TOTAL","mes",8,"año",2010)</f>
        <v>0</v>
      </c>
      <c r="M13" s="151">
        <f t="shared" si="0"/>
        <v>-0.10547251582869399</v>
      </c>
      <c r="N13" s="151">
        <f t="shared" si="0"/>
        <v>-7.677843505949844E-2</v>
      </c>
      <c r="O13" s="151">
        <f t="shared" si="1"/>
        <v>-9.4352067575186993E-2</v>
      </c>
      <c r="P13" s="151"/>
      <c r="Q13" s="151"/>
      <c r="R13" s="151"/>
    </row>
    <row r="14" spans="3:18">
      <c r="C14" s="150" t="s">
        <v>65</v>
      </c>
      <c r="D14" s="129">
        <f>GETPIVOTDATA("dato",'[1]Evolución mensual zonas y categ'!$A$4,"categoría","Hoteleros","mes",9,"año",2008)</f>
        <v>88192</v>
      </c>
      <c r="E14" s="129">
        <f>GETPIVOTDATA("dato",'[1]Evolución mensual zonas y categ'!$A$4,"categoría","EXTRAHOTELEROS","mes",9,"año",2008)</f>
        <v>49248</v>
      </c>
      <c r="F14" s="129">
        <f>GETPIVOTDATA("dato",'[1]Evolución mensual zonas y categ'!$A$4,"categoría","TOTAL","mes",9,"año",2008)</f>
        <v>137440</v>
      </c>
      <c r="G14" s="129">
        <f>GETPIVOTDATA("dato",'[1]Evolución mensual zonas y categ'!$A$4,"categoría","Hoteleros","mes",9,"año",2009)</f>
        <v>79462</v>
      </c>
      <c r="H14" s="129">
        <f>GETPIVOTDATA("dato",'[1]Evolución mensual zonas y categ'!$A$4,"categoría","EXTRAHOTELEROS","mes",9,"año",2009)</f>
        <v>45133</v>
      </c>
      <c r="I14" s="129">
        <f>GETPIVOTDATA("dato",'[1]Evolución mensual zonas y categ'!$A$4,"categoría","TOTAL","mes",9,"año",2009)</f>
        <v>124595</v>
      </c>
      <c r="J14" s="129">
        <f>GETPIVOTDATA("dato",'[1]Evolución mensual zonas y categ'!$A$4,"categoría","Hoteleros","mes",9,"año",2010)</f>
        <v>0</v>
      </c>
      <c r="K14" s="129">
        <f>GETPIVOTDATA("dato",'[1]Evolución mensual zonas y categ'!$A$4,"categoría","EXTRAHOTELEROS","mes",9,"año",2010)</f>
        <v>0</v>
      </c>
      <c r="L14" s="129">
        <f>GETPIVOTDATA("dato",'[1]Evolución mensual zonas y categ'!$A$4,"categoría","TOTAL","mes",9,"año",2010)</f>
        <v>0</v>
      </c>
      <c r="M14" s="151">
        <f t="shared" si="0"/>
        <v>-9.8988570391872255E-2</v>
      </c>
      <c r="N14" s="151">
        <f t="shared" si="0"/>
        <v>-8.355669265756982E-2</v>
      </c>
      <c r="O14" s="151">
        <f t="shared" si="1"/>
        <v>-9.3458963911525084E-2</v>
      </c>
      <c r="P14" s="151"/>
      <c r="Q14" s="151"/>
      <c r="R14" s="151"/>
    </row>
    <row r="15" spans="3:18">
      <c r="C15" s="150" t="s">
        <v>66</v>
      </c>
      <c r="D15" s="129">
        <f>GETPIVOTDATA("dato",'[1]Evolución mensual zonas y categ'!$A$4,"categoría","Hoteleros","mes",10,"año",2008)</f>
        <v>101498</v>
      </c>
      <c r="E15" s="129">
        <f>GETPIVOTDATA("dato",'[1]Evolución mensual zonas y categ'!$A$4,"categoría","EXTRAHOTELEROS","mes",10,"año",2008)</f>
        <v>58945</v>
      </c>
      <c r="F15" s="129">
        <f>GETPIVOTDATA("dato",'[1]Evolución mensual zonas y categ'!$A$4,"categoría","TOTAL","mes",10,"año",2008)</f>
        <v>160443</v>
      </c>
      <c r="G15" s="129">
        <f>GETPIVOTDATA("dato",'[1]Evolución mensual zonas y categ'!$A$4,"categoría","Hoteleros","mes",10,"año",2009)</f>
        <v>94014</v>
      </c>
      <c r="H15" s="129">
        <f>GETPIVOTDATA("dato",'[1]Evolución mensual zonas y categ'!$A$4,"categoría","EXTRAHOTELEROS","mes",10,"año",2009)</f>
        <v>51344</v>
      </c>
      <c r="I15" s="129">
        <f>GETPIVOTDATA("dato",'[1]Evolución mensual zonas y categ'!$A$4,"categoría","TOTAL","mes",10,"año",2009)</f>
        <v>145358</v>
      </c>
      <c r="J15" s="129">
        <f>GETPIVOTDATA("dato",'[1]Evolución mensual zonas y categ'!$A$4,"categoría","Hoteleros","mes",10,"año",2010)</f>
        <v>0</v>
      </c>
      <c r="K15" s="129">
        <f>GETPIVOTDATA("dato",'[1]Evolución mensual zonas y categ'!$A$4,"categoría","EXTRAHOTELEROS","mes",10,"año",2010)</f>
        <v>0</v>
      </c>
      <c r="L15" s="129">
        <f>GETPIVOTDATA("dato",'[1]Evolución mensual zonas y categ'!$A$4,"categoría","TOTAL","mes",10,"año",2010)</f>
        <v>0</v>
      </c>
      <c r="M15" s="151">
        <f t="shared" si="0"/>
        <v>-7.3735443062917461E-2</v>
      </c>
      <c r="N15" s="151">
        <f t="shared" si="0"/>
        <v>-0.12895071676987024</v>
      </c>
      <c r="O15" s="151">
        <f t="shared" si="1"/>
        <v>-9.402092955130481E-2</v>
      </c>
      <c r="P15" s="151"/>
      <c r="Q15" s="151"/>
      <c r="R15" s="151"/>
    </row>
    <row r="16" spans="3:18">
      <c r="C16" s="150" t="s">
        <v>67</v>
      </c>
      <c r="D16" s="129">
        <f>GETPIVOTDATA("dato",'[1]Evolución mensual zonas y categ'!$A$4,"categoría","Hoteleros","mes",11,"año",2008)</f>
        <v>93479</v>
      </c>
      <c r="E16" s="129">
        <f>GETPIVOTDATA("dato",'[1]Evolución mensual zonas y categ'!$A$4,"categoría","EXTRAHOTELEROS","mes",11,"año",2008)</f>
        <v>55613</v>
      </c>
      <c r="F16" s="129">
        <f>GETPIVOTDATA("dato",'[1]Evolución mensual zonas y categ'!$A$4,"categoría","TOTAL","mes",11,"año",2008)</f>
        <v>149092</v>
      </c>
      <c r="G16" s="129">
        <f>GETPIVOTDATA("dato",'[1]Evolución mensual zonas y categ'!$A$4,"categoría","Hoteleros","mes",11,"año",2009)</f>
        <v>85501</v>
      </c>
      <c r="H16" s="129">
        <f>GETPIVOTDATA("dato",'[1]Evolución mensual zonas y categ'!$A$4,"categoría","EXTRAHOTELEROS","mes",11,"año",2009)</f>
        <v>45406</v>
      </c>
      <c r="I16" s="129">
        <f>GETPIVOTDATA("dato",'[1]Evolución mensual zonas y categ'!$A$4,"categoría","TOTAL","mes",11,"año",2009)</f>
        <v>130907</v>
      </c>
      <c r="J16" s="129">
        <f>GETPIVOTDATA("dato",'[1]Evolución mensual zonas y categ'!$A$4,"categoría","Hoteleros","mes",11,"año",2010)</f>
        <v>0</v>
      </c>
      <c r="K16" s="129">
        <f>GETPIVOTDATA("dato",'[1]Evolución mensual zonas y categ'!$A$4,"categoría","EXTRAHOTELEROS","mes",11,"año",2010)</f>
        <v>0</v>
      </c>
      <c r="L16" s="129">
        <f>GETPIVOTDATA("dato",'[1]Evolución mensual zonas y categ'!$A$4,"categoría","TOTAL","mes",11,"año",2010)</f>
        <v>0</v>
      </c>
      <c r="M16" s="151">
        <f t="shared" si="0"/>
        <v>-8.5345371687758798E-2</v>
      </c>
      <c r="N16" s="151">
        <f t="shared" si="0"/>
        <v>-0.18353622354485466</v>
      </c>
      <c r="O16" s="151">
        <f t="shared" si="1"/>
        <v>-0.12197166849998664</v>
      </c>
      <c r="P16" s="151"/>
      <c r="Q16" s="151"/>
      <c r="R16" s="151"/>
    </row>
    <row r="17" spans="3:18">
      <c r="C17" s="150" t="s">
        <v>68</v>
      </c>
      <c r="D17" s="129">
        <f>GETPIVOTDATA("dato",'[1]Evolución mensual zonas y categ'!$A$4,"categoría","Hoteleros","mes",12,"año",2008)</f>
        <v>87217</v>
      </c>
      <c r="E17" s="129">
        <f>GETPIVOTDATA("dato",'[1]Evolución mensual zonas y categ'!$A$4,"categoría","EXTRAHOTELEROS","mes",12,"año",2008)</f>
        <v>54615</v>
      </c>
      <c r="F17" s="129">
        <f>GETPIVOTDATA("dato",'[1]Evolución mensual zonas y categ'!$A$4,"categoría","TOTAL","mes",12,"año",2008)</f>
        <v>141832</v>
      </c>
      <c r="G17" s="129">
        <f>GETPIVOTDATA("dato",'[1]Evolución mensual zonas y categ'!$A$4,"categoría","Hoteleros","mes",12,"año",2009)</f>
        <v>85070</v>
      </c>
      <c r="H17" s="129">
        <f>GETPIVOTDATA("dato",'[1]Evolución mensual zonas y categ'!$A$4,"categoría","EXTRAHOTELEROS","mes",12,"año",2009)</f>
        <v>47003</v>
      </c>
      <c r="I17" s="129">
        <f>GETPIVOTDATA("dato",'[1]Evolución mensual zonas y categ'!$A$4,"categoría","TOTAL","mes",12,"año",2009)</f>
        <v>132073</v>
      </c>
      <c r="J17" s="129">
        <f>GETPIVOTDATA("dato",'[1]Evolución mensual zonas y categ'!$A$4,"categoría","Hoteleros","mes",12,"año",2010)</f>
        <v>0</v>
      </c>
      <c r="K17" s="129">
        <f>GETPIVOTDATA("dato",'[1]Evolución mensual zonas y categ'!$A$4,"categoría","EXTRAHOTELEROS","mes",12,"año",2010)</f>
        <v>0</v>
      </c>
      <c r="L17" s="129">
        <f>GETPIVOTDATA("dato",'[1]Evolución mensual zonas y categ'!$A$4,"categoría","TOTAL","mes",12,"año",2010)</f>
        <v>0</v>
      </c>
      <c r="M17" s="151">
        <f t="shared" si="0"/>
        <v>-2.4616760493940348E-2</v>
      </c>
      <c r="N17" s="151">
        <f t="shared" si="0"/>
        <v>-0.13937562940584092</v>
      </c>
      <c r="O17" s="151">
        <f t="shared" si="1"/>
        <v>-6.8806757290315268E-2</v>
      </c>
      <c r="P17" s="151"/>
      <c r="Q17" s="151"/>
      <c r="R17" s="151"/>
    </row>
    <row r="18" spans="3:18">
      <c r="C18" s="132" t="s">
        <v>102</v>
      </c>
      <c r="D18" s="133">
        <f>GETPIVOTDATA("dato",'[1]Evolución mensual zonas y categ'!$A$4,"categoría","Hoteleros","año",2008)</f>
        <v>1208135</v>
      </c>
      <c r="E18" s="133">
        <f>GETPIVOTDATA("dato",'[1]Evolución mensual zonas y categ'!$A$4,"categoría","EXTRAHOTELEROS","año",2008)</f>
        <v>682665</v>
      </c>
      <c r="F18" s="133">
        <f>GETPIVOTDATA("dato",'[1]Evolución mensual zonas y categ'!$A$4,"categoría","TOTAL","año",2008)</f>
        <v>1890800</v>
      </c>
      <c r="G18" s="133">
        <f>GETPIVOTDATA("dato",'[1]Evolución mensual zonas y categ'!$A$4,"categoría","Hoteleros","año",2009)</f>
        <v>1052440</v>
      </c>
      <c r="H18" s="133">
        <f>GETPIVOTDATA("dato",'[1]Evolución mensual zonas y categ'!$A$4,"categoría","EXTRAHOTELEROS","año",2009)</f>
        <v>596591</v>
      </c>
      <c r="I18" s="133">
        <f>GETPIVOTDATA("dato",'[1]Evolución mensual zonas y categ'!$A$4,"categoría","TOTAL","año",2009)</f>
        <v>1649031</v>
      </c>
      <c r="J18" s="133">
        <f>GETPIVOTDATA("dato",'[1]Evolución mensual zonas y categ'!$A$4,"categoría","Hoteleros","año",2010)</f>
        <v>644123</v>
      </c>
      <c r="K18" s="133">
        <f>GETPIVOTDATA("dato",'[1]Evolución mensual zonas y categ'!$A$4,"categoría","EXTRAHOTELEROS","año",2010)</f>
        <v>334560</v>
      </c>
      <c r="L18" s="133">
        <f>GETPIVOTDATA("dato",'[1]Evolución mensual zonas y categ'!$A$4,"categoría","TOTAL","año",2010)</f>
        <v>978683</v>
      </c>
      <c r="M18" s="143">
        <f t="shared" si="0"/>
        <v>-0.12887218729694938</v>
      </c>
      <c r="N18" s="143">
        <f t="shared" si="0"/>
        <v>-0.12608526876286319</v>
      </c>
      <c r="O18" s="143">
        <f t="shared" si="1"/>
        <v>-0.12786598265284532</v>
      </c>
      <c r="P18" s="143"/>
      <c r="Q18" s="143"/>
      <c r="R18" s="143"/>
    </row>
    <row r="19" spans="3:18" ht="15" customHeight="1">
      <c r="C19" s="136" t="s">
        <v>77</v>
      </c>
      <c r="D19" s="137"/>
      <c r="E19" s="137"/>
      <c r="F19" s="137"/>
      <c r="G19" s="137"/>
      <c r="H19" s="137"/>
      <c r="I19" s="137"/>
      <c r="J19" s="137"/>
      <c r="K19" s="137"/>
      <c r="L19" s="137"/>
      <c r="M19" s="137"/>
      <c r="N19" s="137"/>
      <c r="O19" s="137"/>
      <c r="P19" s="137"/>
      <c r="Q19" s="137"/>
      <c r="R19" s="138"/>
    </row>
    <row r="20" spans="3:18"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</row>
    <row r="21" spans="3:18"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</row>
    <row r="22" spans="3:18" ht="24.75" customHeight="1">
      <c r="C22" s="145" t="s">
        <v>103</v>
      </c>
      <c r="D22" s="146"/>
      <c r="E22" s="146"/>
      <c r="F22" s="146"/>
      <c r="G22" s="146"/>
      <c r="H22" s="146"/>
      <c r="I22" s="146"/>
      <c r="J22" s="146"/>
      <c r="K22" s="146"/>
      <c r="L22" s="146"/>
      <c r="M22" s="146"/>
      <c r="N22" s="146"/>
      <c r="O22" s="146"/>
      <c r="P22" s="146"/>
      <c r="Q22" s="146"/>
      <c r="R22" s="146"/>
    </row>
    <row r="23" spans="3:18">
      <c r="C23" s="158"/>
      <c r="D23" s="159">
        <v>2008</v>
      </c>
      <c r="E23" s="159"/>
      <c r="F23" s="159"/>
      <c r="G23" s="159">
        <v>2009</v>
      </c>
      <c r="H23" s="159"/>
      <c r="I23" s="159"/>
      <c r="J23" s="159">
        <v>2010</v>
      </c>
      <c r="K23" s="159"/>
      <c r="L23" s="159"/>
      <c r="M23" s="159" t="s">
        <v>105</v>
      </c>
      <c r="N23" s="159"/>
      <c r="O23" s="159"/>
      <c r="P23" s="159" t="s">
        <v>106</v>
      </c>
      <c r="Q23" s="159"/>
      <c r="R23" s="159"/>
    </row>
    <row r="24" spans="3:18" ht="45">
      <c r="C24" s="158"/>
      <c r="D24" s="128" t="s">
        <v>34</v>
      </c>
      <c r="E24" s="128" t="s">
        <v>95</v>
      </c>
      <c r="F24" s="128" t="s">
        <v>107</v>
      </c>
      <c r="G24" s="128" t="s">
        <v>34</v>
      </c>
      <c r="H24" s="128" t="s">
        <v>95</v>
      </c>
      <c r="I24" s="128" t="s">
        <v>107</v>
      </c>
      <c r="J24" s="128" t="s">
        <v>34</v>
      </c>
      <c r="K24" s="128" t="s">
        <v>95</v>
      </c>
      <c r="L24" s="128" t="s">
        <v>107</v>
      </c>
      <c r="M24" s="128" t="s">
        <v>108</v>
      </c>
      <c r="N24" s="128" t="s">
        <v>109</v>
      </c>
      <c r="O24" s="128" t="s">
        <v>110</v>
      </c>
      <c r="P24" s="128" t="s">
        <v>108</v>
      </c>
      <c r="Q24" s="128" t="s">
        <v>109</v>
      </c>
      <c r="R24" s="128" t="s">
        <v>110</v>
      </c>
    </row>
    <row r="25" spans="3:18">
      <c r="C25" s="150" t="s">
        <v>57</v>
      </c>
      <c r="D25" s="129">
        <f>GETPIVOTDATA("Hotelero",'[1]Evolución mensual zonas y categ'!$A$24,"MES","Enero","AÑO",2008)</f>
        <v>169956</v>
      </c>
      <c r="E25" s="129">
        <f>GETPIVOTDATA("extrahotelero",'[1]Evolución mensual zonas y categ'!$A$24,"MES","Enero","AÑO",2008)</f>
        <v>144911</v>
      </c>
      <c r="F25" s="129">
        <f>GETPIVOTDATA("total",'[1]Evolución mensual zonas y categ'!$A$24,"MES","Enero","AÑO",2008)</f>
        <v>314867</v>
      </c>
      <c r="G25" s="129">
        <f>GETPIVOTDATA("Hotelero",'[1]Evolución mensual zonas y categ'!$A$24,"MES","Enero","AÑO",2009)</f>
        <v>154599</v>
      </c>
      <c r="H25" s="129">
        <f>GETPIVOTDATA("extrahotelero",'[1]Evolución mensual zonas y categ'!$A$24,"MES","Enero","AÑO",2009)</f>
        <v>144863</v>
      </c>
      <c r="I25" s="129">
        <f>GETPIVOTDATA("total",'[1]Evolución mensual zonas y categ'!$A$24,"MES","Enero","AÑO",2009)</f>
        <v>299462</v>
      </c>
      <c r="J25" s="129">
        <f>GETPIVOTDATA("Hotelero",'[1]Evolución mensual zonas y categ'!$A$24,"MES","Enero","AÑO",2010)</f>
        <v>166831</v>
      </c>
      <c r="K25" s="129">
        <f>GETPIVOTDATA("extrahotelero",'[1]Evolución mensual zonas y categ'!$A$24,"MES","Enero","AÑO",2010)</f>
        <v>134526</v>
      </c>
      <c r="L25" s="129">
        <f>GETPIVOTDATA("total",'[1]Evolución mensual zonas y categ'!$A$24,"MES","Enero","AÑO",2010)</f>
        <v>301357</v>
      </c>
      <c r="M25" s="151">
        <f t="shared" ref="M25:R37" si="2">G25/D25-1</f>
        <v>-9.0358681070394686E-2</v>
      </c>
      <c r="N25" s="151">
        <f t="shared" si="2"/>
        <v>-3.3123779423227528E-4</v>
      </c>
      <c r="O25" s="151">
        <f t="shared" si="2"/>
        <v>-4.892541930402361E-2</v>
      </c>
      <c r="P25" s="151">
        <f t="shared" si="2"/>
        <v>7.9120822256288914E-2</v>
      </c>
      <c r="Q25" s="151">
        <f t="shared" si="2"/>
        <v>-7.1357075305633622E-2</v>
      </c>
      <c r="R25" s="151">
        <f t="shared" si="2"/>
        <v>6.3280149067328484E-3</v>
      </c>
    </row>
    <row r="26" spans="3:18">
      <c r="C26" s="150" t="s">
        <v>58</v>
      </c>
      <c r="D26" s="129">
        <f>GETPIVOTDATA("Hotelero",'[1]Evolución mensual zonas y categ'!$A$24,"MES","febrero","AÑO",2008)</f>
        <v>184741</v>
      </c>
      <c r="E26" s="129">
        <f>GETPIVOTDATA("extrahotelero",'[1]Evolución mensual zonas y categ'!$A$24,"MES","febrero","AÑO",2008)</f>
        <v>173615</v>
      </c>
      <c r="F26" s="129">
        <f>GETPIVOTDATA("total",'[1]Evolución mensual zonas y categ'!$A$24,"MES","febrero","AÑO",2008)</f>
        <v>358356</v>
      </c>
      <c r="G26" s="129">
        <f>GETPIVOTDATA("Hotelero",'[1]Evolución mensual zonas y categ'!$A$24,"MES","febrero","AÑO",2009)</f>
        <v>161008</v>
      </c>
      <c r="H26" s="129">
        <f>GETPIVOTDATA("extrahotelero",'[1]Evolución mensual zonas y categ'!$A$24,"MES","febrero","AÑO",2009)</f>
        <v>139497</v>
      </c>
      <c r="I26" s="129">
        <f>GETPIVOTDATA("total",'[1]Evolución mensual zonas y categ'!$A$24,"MES","febrero","AÑO",2009)</f>
        <v>300505</v>
      </c>
      <c r="J26" s="129">
        <f>GETPIVOTDATA("Hotelero",'[1]Evolución mensual zonas y categ'!$A$24,"MES","febrero","AÑO",2010)</f>
        <v>160394</v>
      </c>
      <c r="K26" s="129">
        <f>GETPIVOTDATA("extrahotelero",'[1]Evolución mensual zonas y categ'!$A$24,"MES","febrero","AÑO",2010)</f>
        <v>127076</v>
      </c>
      <c r="L26" s="129">
        <f>GETPIVOTDATA("total",'[1]Evolución mensual zonas y categ'!$A$24,"MES","febrero","AÑO",2010)</f>
        <v>287470</v>
      </c>
      <c r="M26" s="151">
        <f t="shared" si="2"/>
        <v>-0.12846633936159269</v>
      </c>
      <c r="N26" s="151">
        <f t="shared" si="2"/>
        <v>-0.19651527805777147</v>
      </c>
      <c r="O26" s="151">
        <f t="shared" si="2"/>
        <v>-0.16143443949592029</v>
      </c>
      <c r="P26" s="151">
        <f t="shared" si="2"/>
        <v>-3.8134751068269468E-3</v>
      </c>
      <c r="Q26" s="151">
        <f t="shared" si="2"/>
        <v>-8.9041341390854289E-2</v>
      </c>
      <c r="R26" s="151">
        <f t="shared" si="2"/>
        <v>-4.337698208016505E-2</v>
      </c>
    </row>
    <row r="27" spans="3:18">
      <c r="C27" s="150" t="s">
        <v>59</v>
      </c>
      <c r="D27" s="129">
        <f>GETPIVOTDATA("Hotelero",'[1]Evolución mensual zonas y categ'!$A$24,"MES","marzo","AÑO",2008)</f>
        <v>208953</v>
      </c>
      <c r="E27" s="129">
        <f>GETPIVOTDATA("extrahotelero",'[1]Evolución mensual zonas y categ'!$A$24,"MES","marzo","AÑO",2008)</f>
        <v>178294</v>
      </c>
      <c r="F27" s="129">
        <f>GETPIVOTDATA("total",'[1]Evolución mensual zonas y categ'!$A$24,"MES","marzo","AÑO",2008)</f>
        <v>387247</v>
      </c>
      <c r="G27" s="129">
        <f>GETPIVOTDATA("Hotelero",'[1]Evolución mensual zonas y categ'!$A$24,"MES","marzo","AÑO",2009)</f>
        <v>164848</v>
      </c>
      <c r="H27" s="129">
        <f>GETPIVOTDATA("extrahotelero",'[1]Evolución mensual zonas y categ'!$A$24,"MES","marzo","AÑO",2009)</f>
        <v>152300</v>
      </c>
      <c r="I27" s="129">
        <f>GETPIVOTDATA("total",'[1]Evolución mensual zonas y categ'!$A$24,"MES","marzo","AÑO",2009)</f>
        <v>317148</v>
      </c>
      <c r="J27" s="129">
        <f>GETPIVOTDATA("Hotelero",'[1]Evolución mensual zonas y categ'!$A$24,"MES","marzo","AÑO",2010)</f>
        <v>177083</v>
      </c>
      <c r="K27" s="129">
        <f>GETPIVOTDATA("extrahotelero",'[1]Evolución mensual zonas y categ'!$A$24,"MES","marzo","AÑO",2010)</f>
        <v>142182</v>
      </c>
      <c r="L27" s="129">
        <f>GETPIVOTDATA("total",'[1]Evolución mensual zonas y categ'!$A$24,"MES","marzo","AÑO",2010)</f>
        <v>319265</v>
      </c>
      <c r="M27" s="151">
        <f t="shared" si="2"/>
        <v>-0.21107617502500564</v>
      </c>
      <c r="N27" s="151">
        <f t="shared" si="2"/>
        <v>-0.14579290385542976</v>
      </c>
      <c r="O27" s="151">
        <f t="shared" si="2"/>
        <v>-0.18101883294124943</v>
      </c>
      <c r="P27" s="151">
        <f t="shared" si="2"/>
        <v>7.4219887411433483E-2</v>
      </c>
      <c r="Q27" s="151">
        <f t="shared" si="2"/>
        <v>-6.6434668417596821E-2</v>
      </c>
      <c r="R27" s="151">
        <f t="shared" si="2"/>
        <v>6.6751169800849386E-3</v>
      </c>
    </row>
    <row r="28" spans="3:18">
      <c r="C28" s="150" t="s">
        <v>45</v>
      </c>
      <c r="D28" s="129">
        <f>GETPIVOTDATA("Hotelero",'[1]Evolución mensual zonas y categ'!$A$24,"MES","abril","AÑO",2008)</f>
        <v>183583</v>
      </c>
      <c r="E28" s="129">
        <f>GETPIVOTDATA("extrahotelero",'[1]Evolución mensual zonas y categ'!$A$24,"MES","abril","AÑO",2008)</f>
        <v>133475</v>
      </c>
      <c r="F28" s="129">
        <f>GETPIVOTDATA("total",'[1]Evolución mensual zonas y categ'!$A$24,"MES","abril","AÑO",2008)</f>
        <v>317058</v>
      </c>
      <c r="G28" s="129">
        <f>GETPIVOTDATA("Hotelero",'[1]Evolución mensual zonas y categ'!$A$24,"MES","abril","AÑO",2009)</f>
        <v>184529</v>
      </c>
      <c r="H28" s="129">
        <f>GETPIVOTDATA("extrahotelero",'[1]Evolución mensual zonas y categ'!$A$24,"MES","abril","AÑO",2009)</f>
        <v>139116</v>
      </c>
      <c r="I28" s="129">
        <f>GETPIVOTDATA("total",'[1]Evolución mensual zonas y categ'!$A$24,"MES","abril","AÑO",2009)</f>
        <v>323645</v>
      </c>
      <c r="J28" s="129">
        <f>GETPIVOTDATA("Hotelero",'[1]Evolución mensual zonas y categ'!$A$24,"MES","abril","AÑO",2010)</f>
        <v>197793</v>
      </c>
      <c r="K28" s="129">
        <f>GETPIVOTDATA("extrahotelero",'[1]Evolución mensual zonas y categ'!$A$24,"MES","abril","AÑO",2010)</f>
        <v>142450</v>
      </c>
      <c r="L28" s="129">
        <f>GETPIVOTDATA("total",'[1]Evolución mensual zonas y categ'!$A$24,"MES","abril","AÑO",2010)</f>
        <v>340243</v>
      </c>
      <c r="M28" s="151">
        <f t="shared" si="2"/>
        <v>5.1529825746392532E-3</v>
      </c>
      <c r="N28" s="151">
        <f t="shared" si="2"/>
        <v>4.2262595991758856E-2</v>
      </c>
      <c r="O28" s="151">
        <f t="shared" si="2"/>
        <v>2.077537863734702E-2</v>
      </c>
      <c r="P28" s="151">
        <f t="shared" si="2"/>
        <v>7.1880300657349183E-2</v>
      </c>
      <c r="Q28" s="151">
        <f t="shared" si="2"/>
        <v>2.3965611432186007E-2</v>
      </c>
      <c r="R28" s="151">
        <f t="shared" si="2"/>
        <v>5.1284586506820773E-2</v>
      </c>
    </row>
    <row r="29" spans="3:18">
      <c r="C29" s="150" t="s">
        <v>61</v>
      </c>
      <c r="D29" s="129">
        <f>GETPIVOTDATA("Hotelero",'[1]Evolución mensual zonas y categ'!$A$24,"MES","mayo","AÑO",2008)</f>
        <v>184054</v>
      </c>
      <c r="E29" s="129">
        <f>GETPIVOTDATA("extrahotelero",'[1]Evolución mensual zonas y categ'!$A$24,"MES","mayo","AÑO",2008)</f>
        <v>124018</v>
      </c>
      <c r="F29" s="129">
        <f>GETPIVOTDATA("total",'[1]Evolución mensual zonas y categ'!$A$24,"MES","mayo","AÑO",2008)</f>
        <v>308072</v>
      </c>
      <c r="G29" s="129">
        <f>GETPIVOTDATA("Hotelero",'[1]Evolución mensual zonas y categ'!$A$24,"MES","mayo","AÑO",2009)</f>
        <v>159815</v>
      </c>
      <c r="H29" s="129">
        <f>GETPIVOTDATA("extrahotelero",'[1]Evolución mensual zonas y categ'!$A$24,"MES","mayo","AÑO",2009)</f>
        <v>110874</v>
      </c>
      <c r="I29" s="129">
        <f>GETPIVOTDATA("total",'[1]Evolución mensual zonas y categ'!$A$24,"MES","mayo","AÑO",2009)</f>
        <v>270689</v>
      </c>
      <c r="J29" s="129">
        <f>GETPIVOTDATA("Hotelero",'[1]Evolución mensual zonas y categ'!$A$24,"MES","mayo","AÑO",2010)</f>
        <v>173954</v>
      </c>
      <c r="K29" s="129">
        <f>GETPIVOTDATA("extrahotelero",'[1]Evolución mensual zonas y categ'!$A$24,"MES","mayo","AÑO",2010)</f>
        <v>108089</v>
      </c>
      <c r="L29" s="129">
        <f>GETPIVOTDATA("total",'[1]Evolución mensual zonas y categ'!$A$24,"MES","mayo","AÑO",2010)</f>
        <v>282043</v>
      </c>
      <c r="M29" s="151">
        <f t="shared" si="2"/>
        <v>-0.13169504601910309</v>
      </c>
      <c r="N29" s="151">
        <f t="shared" si="2"/>
        <v>-0.10598461513651247</v>
      </c>
      <c r="O29" s="151">
        <f t="shared" si="2"/>
        <v>-0.12134501025734246</v>
      </c>
      <c r="P29" s="151">
        <f t="shared" si="2"/>
        <v>8.8471044645371144E-2</v>
      </c>
      <c r="Q29" s="151">
        <f t="shared" si="2"/>
        <v>-2.5118603099013259E-2</v>
      </c>
      <c r="R29" s="151">
        <f t="shared" si="2"/>
        <v>4.1944814898278171E-2</v>
      </c>
    </row>
    <row r="30" spans="3:18">
      <c r="C30" s="150" t="s">
        <v>62</v>
      </c>
      <c r="D30" s="129">
        <f>GETPIVOTDATA("Hotelero",'[1]Evolución mensual zonas y categ'!$A$24,"MES","junio","AÑO",2008)</f>
        <v>174917</v>
      </c>
      <c r="E30" s="129">
        <f>GETPIVOTDATA("extrahotelero",'[1]Evolución mensual zonas y categ'!$A$24,"MES","junio","AÑO",2008)</f>
        <v>128258</v>
      </c>
      <c r="F30" s="129">
        <f>GETPIVOTDATA("total",'[1]Evolución mensual zonas y categ'!$A$24,"MES","junio","AÑO",2008)</f>
        <v>303175</v>
      </c>
      <c r="G30" s="129">
        <f>GETPIVOTDATA("Hotelero",'[1]Evolución mensual zonas y categ'!$A$24,"MES","junio","AÑO",2009)</f>
        <v>155822</v>
      </c>
      <c r="H30" s="129">
        <f>GETPIVOTDATA("extrahotelero",'[1]Evolución mensual zonas y categ'!$A$24,"MES","junio","AÑO",2009)</f>
        <v>111016</v>
      </c>
      <c r="I30" s="129">
        <f>GETPIVOTDATA("total",'[1]Evolución mensual zonas y categ'!$A$24,"MES","junio","AÑO",2009)</f>
        <v>266838</v>
      </c>
      <c r="J30" s="129">
        <f>GETPIVOTDATA("Hotelero",'[1]Evolución mensual zonas y categ'!$A$24,"MES","junio","AÑO",2010)</f>
        <v>167745</v>
      </c>
      <c r="K30" s="129">
        <f>GETPIVOTDATA("extrahotelero",'[1]Evolución mensual zonas y categ'!$A$24,"MES","junio","AÑO",2010)</f>
        <v>119707</v>
      </c>
      <c r="L30" s="129">
        <f>GETPIVOTDATA("total",'[1]Evolución mensual zonas y categ'!$A$24,"MES","junio","AÑO",2010)</f>
        <v>287452</v>
      </c>
      <c r="M30" s="151">
        <f t="shared" si="2"/>
        <v>-0.10916606161779585</v>
      </c>
      <c r="N30" s="151">
        <f t="shared" si="2"/>
        <v>-0.13443216017714299</v>
      </c>
      <c r="O30" s="151">
        <f t="shared" si="2"/>
        <v>-0.11985486929990929</v>
      </c>
      <c r="P30" s="151">
        <f t="shared" si="2"/>
        <v>7.6516794804327937E-2</v>
      </c>
      <c r="Q30" s="151">
        <f t="shared" si="2"/>
        <v>7.828601282698E-2</v>
      </c>
      <c r="R30" s="151">
        <f t="shared" si="2"/>
        <v>7.7252865034215468E-2</v>
      </c>
    </row>
    <row r="31" spans="3:18">
      <c r="C31" s="150" t="s">
        <v>63</v>
      </c>
      <c r="D31" s="129">
        <f>GETPIVOTDATA("Hotelero",'[1]Evolución mensual zonas y categ'!$A$24,"MES","julio","AÑO",2008)</f>
        <v>196213</v>
      </c>
      <c r="E31" s="129">
        <f>GETPIVOTDATA("extrahotelero",'[1]Evolución mensual zonas y categ'!$A$24,"MES","julio","AÑO",2008)</f>
        <v>154430</v>
      </c>
      <c r="F31" s="129">
        <f>GETPIVOTDATA("total",'[1]Evolución mensual zonas y categ'!$A$24,"MES","julio","AÑO",2008)</f>
        <v>350643</v>
      </c>
      <c r="G31" s="129">
        <f>GETPIVOTDATA("Hotelero",'[1]Evolución mensual zonas y categ'!$A$24,"MES","julio","AÑO",2009)</f>
        <v>189062</v>
      </c>
      <c r="H31" s="129">
        <f>GETPIVOTDATA("extrahotelero",'[1]Evolución mensual zonas y categ'!$A$24,"MES","julio","AÑO",2009)</f>
        <v>150856</v>
      </c>
      <c r="I31" s="129">
        <f>GETPIVOTDATA("total",'[1]Evolución mensual zonas y categ'!$A$24,"MES","julio","AÑO",2009)</f>
        <v>339918</v>
      </c>
      <c r="J31" s="129">
        <f>GETPIVOTDATA("Hotelero",'[1]Evolución mensual zonas y categ'!$A$24,"MES","julio","AÑO",2010)</f>
        <v>205258</v>
      </c>
      <c r="K31" s="129">
        <f>GETPIVOTDATA("extrahotelero",'[1]Evolución mensual zonas y categ'!$A$24,"MES","julio","AÑO",2010)</f>
        <v>164062</v>
      </c>
      <c r="L31" s="129">
        <f>GETPIVOTDATA("total",'[1]Evolución mensual zonas y categ'!$A$24,"MES","julio","AÑO",2010)</f>
        <v>369320</v>
      </c>
      <c r="M31" s="151">
        <f t="shared" si="2"/>
        <v>-3.644508773628663E-2</v>
      </c>
      <c r="N31" s="151">
        <f t="shared" si="2"/>
        <v>-2.3143171663536855E-2</v>
      </c>
      <c r="O31" s="151">
        <f t="shared" si="2"/>
        <v>-3.0586665069600727E-2</v>
      </c>
      <c r="P31" s="151">
        <f t="shared" si="2"/>
        <v>8.5665019940548648E-2</v>
      </c>
      <c r="Q31" s="151">
        <f t="shared" si="2"/>
        <v>8.7540435912393244E-2</v>
      </c>
      <c r="R31" s="151">
        <f t="shared" si="2"/>
        <v>8.6497331709412206E-2</v>
      </c>
    </row>
    <row r="32" spans="3:18">
      <c r="C32" s="150" t="s">
        <v>64</v>
      </c>
      <c r="D32" s="129">
        <f>GETPIVOTDATA("Hotelero",'[1]Evolución mensual zonas y categ'!$A$24,"MES","agosto","AÑO",2008)</f>
        <v>212937</v>
      </c>
      <c r="E32" s="129">
        <f>GETPIVOTDATA("extrahotelero",'[1]Evolución mensual zonas y categ'!$A$24,"MES","agosto","AÑO",2008)</f>
        <v>184285</v>
      </c>
      <c r="F32" s="129">
        <f>GETPIVOTDATA("total",'[1]Evolución mensual zonas y categ'!$A$24,"MES","agosto","AÑO",2008)</f>
        <v>397222</v>
      </c>
      <c r="G32" s="129">
        <f>GETPIVOTDATA("Hotelero",'[1]Evolución mensual zonas y categ'!$A$24,"MES","agosto","AÑO",2009)</f>
        <v>196701</v>
      </c>
      <c r="H32" s="129">
        <f>GETPIVOTDATA("extrahotelero",'[1]Evolución mensual zonas y categ'!$A$24,"MES","agosto","AÑO",2009)</f>
        <v>166093</v>
      </c>
      <c r="I32" s="129">
        <f>GETPIVOTDATA("total",'[1]Evolución mensual zonas y categ'!$A$24,"MES","agosto","AÑO",2009)</f>
        <v>362794</v>
      </c>
      <c r="J32" s="129">
        <f>GETPIVOTDATA("Hotelero",'[1]Evolución mensual zonas y categ'!$A$24,"MES","agosto","AÑO",2010)</f>
        <v>0</v>
      </c>
      <c r="K32" s="129">
        <f>GETPIVOTDATA("extrahotelero",'[1]Evolución mensual zonas y categ'!$A$24,"MES","agosto","AÑO",2010)</f>
        <v>0</v>
      </c>
      <c r="L32" s="129">
        <f>GETPIVOTDATA("total",'[1]Evolución mensual zonas y categ'!$A$24,"MES","agosto","AÑO",2010)</f>
        <v>0</v>
      </c>
      <c r="M32" s="151">
        <f t="shared" si="2"/>
        <v>-7.6247904309725389E-2</v>
      </c>
      <c r="N32" s="151">
        <f t="shared" si="2"/>
        <v>-9.8716661692487162E-2</v>
      </c>
      <c r="O32" s="151">
        <f t="shared" si="2"/>
        <v>-8.6671936599684862E-2</v>
      </c>
      <c r="P32" s="151"/>
      <c r="Q32" s="151"/>
      <c r="R32" s="151"/>
    </row>
    <row r="33" spans="3:18">
      <c r="C33" s="150" t="s">
        <v>65</v>
      </c>
      <c r="D33" s="129">
        <f>GETPIVOTDATA("Hotelero",'[1]Evolución mensual zonas y categ'!$A$24,"MES","septiembre","AÑO",2008)</f>
        <v>169051</v>
      </c>
      <c r="E33" s="129">
        <f>GETPIVOTDATA("extrahotelero",'[1]Evolución mensual zonas y categ'!$A$24,"MES","septiembre","AÑO",2008)</f>
        <v>124097</v>
      </c>
      <c r="F33" s="129">
        <f>GETPIVOTDATA("total",'[1]Evolución mensual zonas y categ'!$A$24,"MES","septiembre","AÑO",2008)</f>
        <v>293148</v>
      </c>
      <c r="G33" s="129">
        <f>GETPIVOTDATA("Hotelero",'[1]Evolución mensual zonas y categ'!$A$24,"MES","septiembre","AÑO",2009)</f>
        <v>158465</v>
      </c>
      <c r="H33" s="129">
        <f>GETPIVOTDATA("extrahotelero",'[1]Evolución mensual zonas y categ'!$A$24,"MES","septiembre","AÑO",2009)</f>
        <v>120043</v>
      </c>
      <c r="I33" s="129">
        <f>GETPIVOTDATA("total",'[1]Evolución mensual zonas y categ'!$A$24,"MES","septiembre","AÑO",2009)</f>
        <v>278508</v>
      </c>
      <c r="J33" s="129">
        <f>GETPIVOTDATA("Hotelero",'[1]Evolución mensual zonas y categ'!$A$24,"MES","septiembre","AÑO",2010)</f>
        <v>0</v>
      </c>
      <c r="K33" s="129">
        <f>GETPIVOTDATA("extrahotelero",'[1]Evolución mensual zonas y categ'!$A$24,"MES","septiembre","AÑO",2010)</f>
        <v>0</v>
      </c>
      <c r="L33" s="129">
        <f>GETPIVOTDATA("total",'[1]Evolución mensual zonas y categ'!$A$24,"MES","septiembre","AÑO",2010)</f>
        <v>0</v>
      </c>
      <c r="M33" s="151">
        <f t="shared" si="2"/>
        <v>-6.2620156047583309E-2</v>
      </c>
      <c r="N33" s="151">
        <f t="shared" si="2"/>
        <v>-3.2667993585662858E-2</v>
      </c>
      <c r="O33" s="151">
        <f t="shared" si="2"/>
        <v>-4.9940644316181615E-2</v>
      </c>
      <c r="P33" s="151"/>
      <c r="Q33" s="151"/>
      <c r="R33" s="151"/>
    </row>
    <row r="34" spans="3:18">
      <c r="C34" s="150" t="s">
        <v>66</v>
      </c>
      <c r="D34" s="129">
        <f>GETPIVOTDATA("Hotelero",'[1]Evolución mensual zonas y categ'!$A$24,"MES","octubre","AÑO",2008)</f>
        <v>187434</v>
      </c>
      <c r="E34" s="129">
        <f>GETPIVOTDATA("extrahotelero",'[1]Evolución mensual zonas y categ'!$A$24,"MES","octubre","AÑO",2008)</f>
        <v>156459</v>
      </c>
      <c r="F34" s="129">
        <f>GETPIVOTDATA("total",'[1]Evolución mensual zonas y categ'!$A$24,"MES","octubre","AÑO",2008)</f>
        <v>343893</v>
      </c>
      <c r="G34" s="129">
        <f>GETPIVOTDATA("Hotelero",'[1]Evolución mensual zonas y categ'!$A$24,"MES","octubre","AÑO",2009)</f>
        <v>182056</v>
      </c>
      <c r="H34" s="129">
        <f>GETPIVOTDATA("extrahotelero",'[1]Evolución mensual zonas y categ'!$A$24,"MES","octubre","AÑO",2009)</f>
        <v>141843</v>
      </c>
      <c r="I34" s="129">
        <f>GETPIVOTDATA("total",'[1]Evolución mensual zonas y categ'!$A$24,"MES","octubre","AÑO",2009)</f>
        <v>323899</v>
      </c>
      <c r="J34" s="129">
        <f>GETPIVOTDATA("Hotelero",'[1]Evolución mensual zonas y categ'!$A$24,"MES","octubre","AÑO",2010)</f>
        <v>0</v>
      </c>
      <c r="K34" s="129">
        <f>GETPIVOTDATA("extrahotelero",'[1]Evolución mensual zonas y categ'!$A$24,"MES","octubre","AÑO",2010)</f>
        <v>0</v>
      </c>
      <c r="L34" s="129">
        <f>GETPIVOTDATA("total",'[1]Evolución mensual zonas y categ'!$A$24,"MES","octubre","AÑO",2010)</f>
        <v>0</v>
      </c>
      <c r="M34" s="151">
        <f t="shared" si="2"/>
        <v>-2.8692766520481916E-2</v>
      </c>
      <c r="N34" s="151">
        <f t="shared" si="2"/>
        <v>-9.3417444825801055E-2</v>
      </c>
      <c r="O34" s="151">
        <f t="shared" si="2"/>
        <v>-5.8140177322597464E-2</v>
      </c>
      <c r="P34" s="151"/>
      <c r="Q34" s="151"/>
      <c r="R34" s="151"/>
    </row>
    <row r="35" spans="3:18">
      <c r="C35" s="150" t="s">
        <v>67</v>
      </c>
      <c r="D35" s="129">
        <f>GETPIVOTDATA("Hotelero",'[1]Evolución mensual zonas y categ'!$A$24,"MES","noviembre","AÑO",2008)</f>
        <v>173926</v>
      </c>
      <c r="E35" s="129">
        <f>GETPIVOTDATA("extrahotelero",'[1]Evolución mensual zonas y categ'!$A$24,"MES","noviembre","AÑO",2008)</f>
        <v>157774</v>
      </c>
      <c r="F35" s="129">
        <f>GETPIVOTDATA("total",'[1]Evolución mensual zonas y categ'!$A$24,"MES","noviembre","AÑO",2008)</f>
        <v>331700</v>
      </c>
      <c r="G35" s="129">
        <f>GETPIVOTDATA("Hotelero",'[1]Evolución mensual zonas y categ'!$A$24,"MES","noviembre","AÑO",2009)</f>
        <v>162065</v>
      </c>
      <c r="H35" s="129">
        <f>GETPIVOTDATA("extrahotelero",'[1]Evolución mensual zonas y categ'!$A$24,"MES","noviembre","AÑO",2009)</f>
        <v>125188</v>
      </c>
      <c r="I35" s="129">
        <f>GETPIVOTDATA("total",'[1]Evolución mensual zonas y categ'!$A$24,"MES","noviembre","AÑO",2009)</f>
        <v>287253</v>
      </c>
      <c r="J35" s="129">
        <f>GETPIVOTDATA("Hotelero",'[1]Evolución mensual zonas y categ'!$A$24,"MES","noviembre","AÑO",2010)</f>
        <v>0</v>
      </c>
      <c r="K35" s="129">
        <f>GETPIVOTDATA("extrahotelero",'[1]Evolución mensual zonas y categ'!$A$24,"MES","noviembre","AÑO",2010)</f>
        <v>0</v>
      </c>
      <c r="L35" s="129">
        <f>GETPIVOTDATA("total",'[1]Evolución mensual zonas y categ'!$A$24,"MES","noviembre","AÑO",2010)</f>
        <v>0</v>
      </c>
      <c r="M35" s="151">
        <f t="shared" si="2"/>
        <v>-6.8195669422628002E-2</v>
      </c>
      <c r="N35" s="151">
        <f t="shared" si="2"/>
        <v>-0.2065359311420133</v>
      </c>
      <c r="O35" s="151">
        <f t="shared" si="2"/>
        <v>-0.13399758818209229</v>
      </c>
      <c r="P35" s="151"/>
      <c r="Q35" s="151"/>
      <c r="R35" s="151"/>
    </row>
    <row r="36" spans="3:18">
      <c r="C36" s="150" t="s">
        <v>68</v>
      </c>
      <c r="D36" s="129">
        <f>GETPIVOTDATA("Hotelero",'[1]Evolución mensual zonas y categ'!$A$24,"MES","diciembre","AÑO",2008)</f>
        <v>164055</v>
      </c>
      <c r="E36" s="129">
        <f>GETPIVOTDATA("extrahotelero",'[1]Evolución mensual zonas y categ'!$A$24,"MES","diciembre","AÑO",2008)</f>
        <v>147580</v>
      </c>
      <c r="F36" s="129">
        <f>GETPIVOTDATA("total",'[1]Evolución mensual zonas y categ'!$A$24,"MES","diciembre","AÑO",2008)</f>
        <v>311635</v>
      </c>
      <c r="G36" s="129">
        <f>GETPIVOTDATA("Hotelero",'[1]Evolución mensual zonas y categ'!$A$24,"MES","diciembre","AÑO",2009)</f>
        <v>163523</v>
      </c>
      <c r="H36" s="129">
        <f>GETPIVOTDATA("extrahotelero",'[1]Evolución mensual zonas y categ'!$A$24,"MES","diciembre","AÑO",2009)</f>
        <v>130042</v>
      </c>
      <c r="I36" s="129">
        <f>GETPIVOTDATA("total",'[1]Evolución mensual zonas y categ'!$A$24,"MES","diciembre","AÑO",2009)</f>
        <v>293565</v>
      </c>
      <c r="J36" s="129">
        <f>GETPIVOTDATA("Hotelero",'[1]Evolución mensual zonas y categ'!$A$24,"MES","diciembre","AÑO",2010)</f>
        <v>0</v>
      </c>
      <c r="K36" s="129">
        <f>GETPIVOTDATA("extrahotelero",'[1]Evolución mensual zonas y categ'!$A$24,"MES","diciembre","AÑO",2010)</f>
        <v>0</v>
      </c>
      <c r="L36" s="129">
        <f>GETPIVOTDATA("total",'[1]Evolución mensual zonas y categ'!$A$24,"MES","diciembre","AÑO",2010)</f>
        <v>0</v>
      </c>
      <c r="M36" s="151">
        <f t="shared" si="2"/>
        <v>-3.242814909633962E-3</v>
      </c>
      <c r="N36" s="151">
        <f t="shared" si="2"/>
        <v>-0.11883724081853908</v>
      </c>
      <c r="O36" s="151">
        <f t="shared" si="2"/>
        <v>-5.7984501099042185E-2</v>
      </c>
      <c r="P36" s="151"/>
      <c r="Q36" s="151"/>
      <c r="R36" s="151"/>
    </row>
    <row r="37" spans="3:18">
      <c r="C37" s="132" t="s">
        <v>102</v>
      </c>
      <c r="D37" s="133">
        <f>GETPIVOTDATA("Hotelero",'[1]Evolución mensual zonas y categ'!$A$26,"AÑO",2008)</f>
        <v>2209820</v>
      </c>
      <c r="E37" s="133">
        <f>GETPIVOTDATA("Extrahotelero",'[1]Evolución mensual zonas y categ'!$A$26,"AÑO",2008)</f>
        <v>1807196</v>
      </c>
      <c r="F37" s="133">
        <f>GETPIVOTDATA("Total",'[1]Evolución mensual zonas y categ'!$A$26,"AÑO",2008)</f>
        <v>4017016</v>
      </c>
      <c r="G37" s="133">
        <f>GETPIVOTDATA("Hotelero",'[1]Evolución mensual zonas y categ'!$A$26,"AÑO",2009)</f>
        <v>2032493</v>
      </c>
      <c r="H37" s="133">
        <f>GETPIVOTDATA("Extrahotelero",'[1]Evolución mensual zonas y categ'!$A$26,"AÑO",2009)</f>
        <v>1631731</v>
      </c>
      <c r="I37" s="133">
        <f>GETPIVOTDATA("Total",'[1]Evolución mensual zonas y categ'!$A$26,"AÑO",2009)</f>
        <v>3664224</v>
      </c>
      <c r="J37" s="133">
        <f>GETPIVOTDATA("Hotelero",'[1]Evolución mensual zonas y categ'!$A$26,"AÑO",2010)</f>
        <v>1249058</v>
      </c>
      <c r="K37" s="133">
        <f>GETPIVOTDATA("Extrahotelero",'[1]Evolución mensual zonas y categ'!$A$26,"AÑO",2010)</f>
        <v>938092</v>
      </c>
      <c r="L37" s="133">
        <f>GETPIVOTDATA("Total",'[1]Evolución mensual zonas y categ'!$A$26,"AÑO",2010)</f>
        <v>2187150</v>
      </c>
      <c r="M37" s="143">
        <f t="shared" si="2"/>
        <v>-8.0244997330099266E-2</v>
      </c>
      <c r="N37" s="143">
        <f t="shared" si="2"/>
        <v>-9.7092401709609755E-2</v>
      </c>
      <c r="O37" s="143">
        <f t="shared" si="2"/>
        <v>-8.7824395023569757E-2</v>
      </c>
      <c r="P37" s="143"/>
      <c r="Q37" s="143"/>
      <c r="R37" s="143"/>
    </row>
    <row r="38" spans="3:18" ht="15" customHeight="1">
      <c r="C38" s="136" t="s">
        <v>77</v>
      </c>
      <c r="D38" s="137"/>
      <c r="E38" s="137"/>
      <c r="F38" s="137"/>
      <c r="G38" s="137"/>
      <c r="H38" s="137"/>
      <c r="I38" s="137"/>
      <c r="J38" s="137"/>
      <c r="K38" s="137"/>
      <c r="L38" s="137"/>
      <c r="M38" s="137"/>
      <c r="N38" s="137"/>
      <c r="O38" s="137"/>
      <c r="P38" s="137"/>
      <c r="Q38" s="137"/>
      <c r="R38" s="138"/>
    </row>
    <row r="39" spans="3:18"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</row>
    <row r="40" spans="3:18"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</row>
    <row r="41" spans="3:18"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</row>
    <row r="42" spans="3:18" ht="24.75" customHeight="1">
      <c r="C42" s="145" t="s">
        <v>104</v>
      </c>
      <c r="D42" s="146"/>
      <c r="E42" s="146"/>
      <c r="F42" s="146"/>
      <c r="G42" s="146"/>
      <c r="H42" s="146"/>
      <c r="I42" s="146"/>
      <c r="J42" s="146"/>
      <c r="K42" s="146"/>
      <c r="L42" s="146"/>
      <c r="M42" s="146"/>
      <c r="N42" s="146"/>
      <c r="O42" s="146"/>
      <c r="P42" s="146"/>
      <c r="Q42" s="146"/>
      <c r="R42" s="146"/>
    </row>
    <row r="43" spans="3:18">
      <c r="C43" s="158"/>
      <c r="D43" s="159">
        <v>2008</v>
      </c>
      <c r="E43" s="159"/>
      <c r="F43" s="159"/>
      <c r="G43" s="159">
        <v>2009</v>
      </c>
      <c r="H43" s="159"/>
      <c r="I43" s="159"/>
      <c r="J43" s="159">
        <v>2010</v>
      </c>
      <c r="K43" s="159"/>
      <c r="L43" s="159"/>
      <c r="M43" s="159" t="s">
        <v>105</v>
      </c>
      <c r="N43" s="159"/>
      <c r="O43" s="159"/>
      <c r="P43" s="159" t="s">
        <v>106</v>
      </c>
      <c r="Q43" s="159"/>
      <c r="R43" s="159"/>
    </row>
    <row r="44" spans="3:18" ht="45">
      <c r="C44" s="158"/>
      <c r="D44" s="128" t="s">
        <v>34</v>
      </c>
      <c r="E44" s="128" t="s">
        <v>95</v>
      </c>
      <c r="F44" s="128" t="s">
        <v>107</v>
      </c>
      <c r="G44" s="128" t="s">
        <v>34</v>
      </c>
      <c r="H44" s="128" t="s">
        <v>95</v>
      </c>
      <c r="I44" s="128" t="s">
        <v>107</v>
      </c>
      <c r="J44" s="128" t="s">
        <v>34</v>
      </c>
      <c r="K44" s="128" t="s">
        <v>95</v>
      </c>
      <c r="L44" s="128" t="s">
        <v>107</v>
      </c>
      <c r="M44" s="128" t="s">
        <v>108</v>
      </c>
      <c r="N44" s="128" t="s">
        <v>109</v>
      </c>
      <c r="O44" s="128" t="s">
        <v>110</v>
      </c>
      <c r="P44" s="128" t="s">
        <v>108</v>
      </c>
      <c r="Q44" s="128" t="s">
        <v>109</v>
      </c>
      <c r="R44" s="128" t="s">
        <v>110</v>
      </c>
    </row>
    <row r="45" spans="3:18">
      <c r="C45" s="150" t="s">
        <v>57</v>
      </c>
      <c r="D45" s="129">
        <f>GETPIVOTDATA("Hotelero",'[1]Evolución mensual zonas y categ'!$A$49,"MES","Enero","AÑO",2008)</f>
        <v>238040</v>
      </c>
      <c r="E45" s="129">
        <f>GETPIVOTDATA("extrahotelero",'[1]Evolución mensual zonas y categ'!$A$49,"MES","Enero","AÑO",2008)</f>
        <v>171707</v>
      </c>
      <c r="F45" s="129">
        <f>GETPIVOTDATA("total",'[1]Evolución mensual zonas y categ'!$A$49,"MES","Enero","AÑO",2008)</f>
        <v>409747</v>
      </c>
      <c r="G45" s="129">
        <f>GETPIVOTDATA("Hotelero",'[1]Evolución mensual zonas y categ'!$A$49,"MES","Enero","AÑO",2009)</f>
        <v>212522</v>
      </c>
      <c r="H45" s="129">
        <f>GETPIVOTDATA("extrahotelero",'[1]Evolución mensual zonas y categ'!$A$49,"MES","Enero","AÑO",2009)</f>
        <v>168208</v>
      </c>
      <c r="I45" s="129">
        <f>GETPIVOTDATA("total",'[1]Evolución mensual zonas y categ'!$A$49,"MES","Enero","AÑO",2009)</f>
        <v>380730</v>
      </c>
      <c r="J45" s="129">
        <f>GETPIVOTDATA("Hotelero",'[1]Evolución mensual zonas y categ'!$A$49,"MES","Enero","AÑO",2010)</f>
        <v>226497</v>
      </c>
      <c r="K45" s="129">
        <f>GETPIVOTDATA("extrahotelero",'[1]Evolución mensual zonas y categ'!$A$49,"MES","Enero","AÑO",2010)</f>
        <v>155740</v>
      </c>
      <c r="L45" s="129">
        <f>GETPIVOTDATA("total",'[1]Evolución mensual zonas y categ'!$A$49,"MES","Enero","AÑO",2010)</f>
        <v>382237</v>
      </c>
      <c r="M45" s="151">
        <f t="shared" ref="M45:N57" si="3">G45/D45-1</f>
        <v>-0.10720047050915815</v>
      </c>
      <c r="N45" s="151">
        <f>H45/E45-1</f>
        <v>-2.0377736492979359E-2</v>
      </c>
      <c r="O45" s="151">
        <f t="shared" ref="O45:R57" si="4">I45/F45-1</f>
        <v>-7.081686992217151E-2</v>
      </c>
      <c r="P45" s="151">
        <f t="shared" si="4"/>
        <v>6.5757898005853521E-2</v>
      </c>
      <c r="Q45" s="151">
        <f t="shared" si="4"/>
        <v>-7.4122514981451504E-2</v>
      </c>
      <c r="R45" s="151">
        <f t="shared" si="4"/>
        <v>3.9581855908386032E-3</v>
      </c>
    </row>
    <row r="46" spans="3:18">
      <c r="C46" s="150" t="s">
        <v>58</v>
      </c>
      <c r="D46" s="129">
        <f>GETPIVOTDATA("Hotelero",'[1]Evolución mensual zonas y categ'!$A$49,"MES","febrero","AÑO",2008)</f>
        <v>260847</v>
      </c>
      <c r="E46" s="129">
        <f>GETPIVOTDATA("extrahotelero",'[1]Evolución mensual zonas y categ'!$A$49,"MES","febrero","AÑO",2008)</f>
        <v>199071</v>
      </c>
      <c r="F46" s="129">
        <f>GETPIVOTDATA("total",'[1]Evolución mensual zonas y categ'!$A$49,"MES","febrero","AÑO",2008)</f>
        <v>459918</v>
      </c>
      <c r="G46" s="129">
        <f>GETPIVOTDATA("Hotelero",'[1]Evolución mensual zonas y categ'!$A$49,"MES","febrero","AÑO",2009)</f>
        <v>223867</v>
      </c>
      <c r="H46" s="129">
        <f>GETPIVOTDATA("extrahotelero",'[1]Evolución mensual zonas y categ'!$A$49,"MES","febrero","AÑO",2009)</f>
        <v>161715</v>
      </c>
      <c r="I46" s="129">
        <f>GETPIVOTDATA("total",'[1]Evolución mensual zonas y categ'!$A$49,"MES","febrero","AÑO",2009)</f>
        <v>385582</v>
      </c>
      <c r="J46" s="129">
        <f>GETPIVOTDATA("Hotelero",'[1]Evolución mensual zonas y categ'!$A$49,"MES","febrero","AÑO",2010)</f>
        <v>223216</v>
      </c>
      <c r="K46" s="129">
        <f>GETPIVOTDATA("extrahotelero",'[1]Evolución mensual zonas y categ'!$A$49,"MES","febrero","AÑO",2010)</f>
        <v>146331</v>
      </c>
      <c r="L46" s="129">
        <f>GETPIVOTDATA("total",'[1]Evolución mensual zonas y categ'!$A$49,"MES","febrero","AÑO",2010)</f>
        <v>369547</v>
      </c>
      <c r="M46" s="151">
        <f t="shared" si="3"/>
        <v>-0.14176892967908394</v>
      </c>
      <c r="N46" s="151">
        <f>H46/E46-1</f>
        <v>-0.1876516418765164</v>
      </c>
      <c r="O46" s="151">
        <f t="shared" si="4"/>
        <v>-0.16162881209259039</v>
      </c>
      <c r="P46" s="151">
        <f t="shared" si="4"/>
        <v>-2.9079766111128613E-3</v>
      </c>
      <c r="Q46" s="151">
        <f t="shared" si="4"/>
        <v>-9.5130321862535894E-2</v>
      </c>
      <c r="R46" s="151">
        <f t="shared" si="4"/>
        <v>-4.1586484846284355E-2</v>
      </c>
    </row>
    <row r="47" spans="3:18">
      <c r="C47" s="150" t="s">
        <v>59</v>
      </c>
      <c r="D47" s="129">
        <f>GETPIVOTDATA("Hotelero",'[1]Evolución mensual zonas y categ'!$A$49,"MES","marzo","AÑO",2008)</f>
        <v>294814</v>
      </c>
      <c r="E47" s="129">
        <f>GETPIVOTDATA("extrahotelero",'[1]Evolución mensual zonas y categ'!$A$49,"MES","marzo","AÑO",2008)</f>
        <v>213269</v>
      </c>
      <c r="F47" s="129">
        <f>GETPIVOTDATA("total",'[1]Evolución mensual zonas y categ'!$A$49,"MES","marzo","AÑO",2008)</f>
        <v>508083</v>
      </c>
      <c r="G47" s="129">
        <f>GETPIVOTDATA("Hotelero",'[1]Evolución mensual zonas y categ'!$A$49,"MES","marzo","AÑO",2009)</f>
        <v>230133</v>
      </c>
      <c r="H47" s="129">
        <f>GETPIVOTDATA("extrahotelero",'[1]Evolución mensual zonas y categ'!$A$49,"MES","marzo","AÑO",2009)</f>
        <v>179375</v>
      </c>
      <c r="I47" s="129">
        <f>GETPIVOTDATA("total",'[1]Evolución mensual zonas y categ'!$A$49,"MES","marzo","AÑO",2009)</f>
        <v>409508</v>
      </c>
      <c r="J47" s="129">
        <f>GETPIVOTDATA("Hotelero",'[1]Evolución mensual zonas y categ'!$A$49,"MES","marzo","AÑO",2010)</f>
        <v>239927</v>
      </c>
      <c r="K47" s="129">
        <f>GETPIVOTDATA("extrahotelero",'[1]Evolución mensual zonas y categ'!$A$49,"MES","marzo","AÑO",2010)</f>
        <v>164434</v>
      </c>
      <c r="L47" s="129">
        <f>GETPIVOTDATA("total",'[1]Evolución mensual zonas y categ'!$A$49,"MES","marzo","AÑO",2010)</f>
        <v>404361</v>
      </c>
      <c r="M47" s="151">
        <f t="shared" si="3"/>
        <v>-0.2193959581295325</v>
      </c>
      <c r="N47" s="151">
        <f t="shared" si="3"/>
        <v>-0.15892605113729608</v>
      </c>
      <c r="O47" s="151">
        <f t="shared" si="4"/>
        <v>-0.19401357652194617</v>
      </c>
      <c r="P47" s="151">
        <f t="shared" si="4"/>
        <v>4.2557999070103048E-2</v>
      </c>
      <c r="Q47" s="151">
        <f t="shared" si="4"/>
        <v>-8.3294773519163812E-2</v>
      </c>
      <c r="R47" s="151">
        <f t="shared" si="4"/>
        <v>-1.2568741025816399E-2</v>
      </c>
    </row>
    <row r="48" spans="3:18">
      <c r="C48" s="150" t="s">
        <v>45</v>
      </c>
      <c r="D48" s="129">
        <f>GETPIVOTDATA("Hotelero",'[1]Evolución mensual zonas y categ'!$A$49,"MES","abril","AÑO",2008)</f>
        <v>261323</v>
      </c>
      <c r="E48" s="129">
        <f>GETPIVOTDATA("extrahotelero",'[1]Evolución mensual zonas y categ'!$A$49,"MES","abril","AÑO",2008)</f>
        <v>163191</v>
      </c>
      <c r="F48" s="129">
        <f>GETPIVOTDATA("total",'[1]Evolución mensual zonas y categ'!$A$49,"MES","abril","AÑO",2008)</f>
        <v>424514</v>
      </c>
      <c r="G48" s="129">
        <f>GETPIVOTDATA("Hotelero",'[1]Evolución mensual zonas y categ'!$A$49,"MES","abril","AÑO",2009)</f>
        <v>253066</v>
      </c>
      <c r="H48" s="129">
        <f>GETPIVOTDATA("extrahotelero",'[1]Evolución mensual zonas y categ'!$A$49,"MES","abril","AÑO",2009)</f>
        <v>165364</v>
      </c>
      <c r="I48" s="129">
        <f>GETPIVOTDATA("total",'[1]Evolución mensual zonas y categ'!$A$49,"MES","abril","AÑO",2009)</f>
        <v>418430</v>
      </c>
      <c r="J48" s="129">
        <f>GETPIVOTDATA("Hotelero",'[1]Evolución mensual zonas y categ'!$A$49,"MES","abril","AÑO",2010)</f>
        <v>258952</v>
      </c>
      <c r="K48" s="129">
        <f>GETPIVOTDATA("extrahotelero",'[1]Evolución mensual zonas y categ'!$A$49,"MES","abril","AÑO",2010)</f>
        <v>163597</v>
      </c>
      <c r="L48" s="129">
        <f>GETPIVOTDATA("total",'[1]Evolución mensual zonas y categ'!$A$49,"MES","abril","AÑO",2010)</f>
        <v>422549</v>
      </c>
      <c r="M48" s="151">
        <f t="shared" si="3"/>
        <v>-3.1596912633024998E-2</v>
      </c>
      <c r="N48" s="151">
        <f t="shared" si="3"/>
        <v>1.3315685301272806E-2</v>
      </c>
      <c r="O48" s="151">
        <f t="shared" si="4"/>
        <v>-1.4331682818470082E-2</v>
      </c>
      <c r="P48" s="151">
        <f t="shared" si="4"/>
        <v>2.3258754633178613E-2</v>
      </c>
      <c r="Q48" s="151">
        <f t="shared" si="4"/>
        <v>-1.0685518008756389E-2</v>
      </c>
      <c r="R48" s="151">
        <f t="shared" si="4"/>
        <v>9.8439404440409106E-3</v>
      </c>
    </row>
    <row r="49" spans="3:18">
      <c r="C49" s="150" t="s">
        <v>61</v>
      </c>
      <c r="D49" s="129">
        <f>GETPIVOTDATA("Hotelero",'[1]Evolución mensual zonas y categ'!$A$49,"MES","mayo","AÑO",2008)</f>
        <v>258413</v>
      </c>
      <c r="E49" s="129">
        <f>GETPIVOTDATA("extrahotelero",'[1]Evolución mensual zonas y categ'!$A$49,"MES","mayo","AÑO",2008)</f>
        <v>154772</v>
      </c>
      <c r="F49" s="129">
        <f>GETPIVOTDATA("total",'[1]Evolución mensual zonas y categ'!$A$49,"MES","mayo","AÑO",2008)</f>
        <v>413185</v>
      </c>
      <c r="G49" s="129">
        <f>GETPIVOTDATA("Hotelero",'[1]Evolución mensual zonas y categ'!$A$49,"MES","mayo","AÑO",2009)</f>
        <v>217112</v>
      </c>
      <c r="H49" s="129">
        <f>GETPIVOTDATA("extrahotelero",'[1]Evolución mensual zonas y categ'!$A$49,"MES","mayo","AÑO",2009)</f>
        <v>133181</v>
      </c>
      <c r="I49" s="129">
        <f>GETPIVOTDATA("total",'[1]Evolución mensual zonas y categ'!$A$49,"MES","mayo","AÑO",2009)</f>
        <v>350293</v>
      </c>
      <c r="J49" s="129">
        <f>GETPIVOTDATA("Hotelero",'[1]Evolución mensual zonas y categ'!$A$49,"MES","mayo","AÑO",2010)</f>
        <v>233329</v>
      </c>
      <c r="K49" s="129">
        <f>GETPIVOTDATA("extrahotelero",'[1]Evolución mensual zonas y categ'!$A$49,"MES","mayo","AÑO",2010)</f>
        <v>127968</v>
      </c>
      <c r="L49" s="129">
        <f>GETPIVOTDATA("total",'[1]Evolución mensual zonas y categ'!$A$49,"MES","mayo","AÑO",2010)</f>
        <v>361297</v>
      </c>
      <c r="M49" s="151">
        <f t="shared" si="3"/>
        <v>-0.15982555057214609</v>
      </c>
      <c r="N49" s="151">
        <f t="shared" si="3"/>
        <v>-0.13950197710180134</v>
      </c>
      <c r="O49" s="151">
        <f t="shared" si="4"/>
        <v>-0.152212689231216</v>
      </c>
      <c r="P49" s="151">
        <f t="shared" si="4"/>
        <v>7.4694167065846306E-2</v>
      </c>
      <c r="Q49" s="151">
        <f t="shared" si="4"/>
        <v>-3.9142219986334381E-2</v>
      </c>
      <c r="R49" s="151">
        <f t="shared" si="4"/>
        <v>3.1413702243550334E-2</v>
      </c>
    </row>
    <row r="50" spans="3:18">
      <c r="C50" s="150" t="s">
        <v>62</v>
      </c>
      <c r="D50" s="129">
        <f>GETPIVOTDATA("Hotelero",'[1]Evolución mensual zonas y categ'!$A$49,"MES","junio","AÑO",2008)</f>
        <v>245260</v>
      </c>
      <c r="E50" s="129">
        <f>GETPIVOTDATA("extrahotelero",'[1]Evolución mensual zonas y categ'!$A$49,"MES","junio","AÑO",2008)</f>
        <v>157171</v>
      </c>
      <c r="F50" s="129">
        <f>GETPIVOTDATA("total",'[1]Evolución mensual zonas y categ'!$A$49,"MES","junio","AÑO",2008)</f>
        <v>402431</v>
      </c>
      <c r="G50" s="129">
        <f>GETPIVOTDATA("Hotelero",'[1]Evolución mensual zonas y categ'!$A$49,"MES","junio","AÑO",2009)</f>
        <v>213715</v>
      </c>
      <c r="H50" s="129">
        <f>GETPIVOTDATA("extrahotelero",'[1]Evolución mensual zonas y categ'!$A$49,"MES","junio","AÑO",2009)</f>
        <v>136143</v>
      </c>
      <c r="I50" s="129">
        <f>GETPIVOTDATA("total",'[1]Evolución mensual zonas y categ'!$A$49,"MES","junio","AÑO",2009)</f>
        <v>349858</v>
      </c>
      <c r="J50" s="129">
        <f>GETPIVOTDATA("Hotelero",'[1]Evolución mensual zonas y categ'!$A$49,"MES","junio","AÑO",2010)</f>
        <v>230853</v>
      </c>
      <c r="K50" s="129">
        <f>GETPIVOTDATA("extrahotelero",'[1]Evolución mensual zonas y categ'!$A$49,"MES","junio","AÑO",2010)</f>
        <v>144090</v>
      </c>
      <c r="L50" s="129">
        <f>GETPIVOTDATA("total",'[1]Evolución mensual zonas y categ'!$A$49,"MES","junio","AÑO",2010)</f>
        <v>374943</v>
      </c>
      <c r="M50" s="151">
        <f t="shared" si="3"/>
        <v>-0.12861860882328957</v>
      </c>
      <c r="N50" s="151">
        <f t="shared" si="3"/>
        <v>-0.13379058477708994</v>
      </c>
      <c r="O50" s="151">
        <f t="shared" si="4"/>
        <v>-0.13063854424733679</v>
      </c>
      <c r="P50" s="151">
        <f t="shared" si="4"/>
        <v>8.0190908452846044E-2</v>
      </c>
      <c r="Q50" s="151">
        <f t="shared" si="4"/>
        <v>5.8372446618628837E-2</v>
      </c>
      <c r="R50" s="151">
        <f t="shared" si="4"/>
        <v>7.1700518496075505E-2</v>
      </c>
    </row>
    <row r="51" spans="3:18">
      <c r="C51" s="150" t="s">
        <v>63</v>
      </c>
      <c r="D51" s="129">
        <f>GETPIVOTDATA("Hotelero",'[1]Evolución mensual zonas y categ'!$A$49,"MES","julio","AÑO",2008)</f>
        <v>276976</v>
      </c>
      <c r="E51" s="129">
        <f>GETPIVOTDATA("extrahotelero",'[1]Evolución mensual zonas y categ'!$A$49,"MES","julio","AÑO",2008)</f>
        <v>190549</v>
      </c>
      <c r="F51" s="129">
        <f>GETPIVOTDATA("total",'[1]Evolución mensual zonas y categ'!$A$49,"MES","julio","AÑO",2008)</f>
        <v>467525</v>
      </c>
      <c r="G51" s="129">
        <f>GETPIVOTDATA("Hotelero",'[1]Evolución mensual zonas y categ'!$A$49,"MES","julio","AÑO",2009)</f>
        <v>255405</v>
      </c>
      <c r="H51" s="129">
        <f>GETPIVOTDATA("extrahotelero",'[1]Evolución mensual zonas y categ'!$A$49,"MES","julio","AÑO",2009)</f>
        <v>178790</v>
      </c>
      <c r="I51" s="129">
        <f>GETPIVOTDATA("total",'[1]Evolución mensual zonas y categ'!$A$49,"MES","julio","AÑO",2009)</f>
        <v>434195</v>
      </c>
      <c r="J51" s="129">
        <f>GETPIVOTDATA("Hotelero",'[1]Evolución mensual zonas y categ'!$A$49,"MES","julio","AÑO",2010)</f>
        <v>265054</v>
      </c>
      <c r="K51" s="129">
        <f>GETPIVOTDATA("extrahotelero",'[1]Evolución mensual zonas y categ'!$A$49,"MES","julio","AÑO",2010)</f>
        <v>186205</v>
      </c>
      <c r="L51" s="129">
        <f>GETPIVOTDATA("total",'[1]Evolución mensual zonas y categ'!$A$49,"MES","julio","AÑO",2010)</f>
        <v>451259</v>
      </c>
      <c r="M51" s="151">
        <f t="shared" si="3"/>
        <v>-7.7880393969152584E-2</v>
      </c>
      <c r="N51" s="151">
        <f t="shared" si="3"/>
        <v>-6.1711160908742624E-2</v>
      </c>
      <c r="O51" s="151">
        <f t="shared" si="4"/>
        <v>-7.129030533126568E-2</v>
      </c>
      <c r="P51" s="151">
        <f t="shared" si="4"/>
        <v>3.7779213406158751E-2</v>
      </c>
      <c r="Q51" s="151">
        <f t="shared" si="4"/>
        <v>4.1473236758208021E-2</v>
      </c>
      <c r="R51" s="151">
        <f t="shared" si="4"/>
        <v>3.9300314374877576E-2</v>
      </c>
    </row>
    <row r="52" spans="3:18">
      <c r="C52" s="150" t="s">
        <v>64</v>
      </c>
      <c r="D52" s="129">
        <f>GETPIVOTDATA("Hotelero",'[1]Evolución mensual zonas y categ'!$A$49,"MES","agosto","AÑO",2008)</f>
        <v>303519</v>
      </c>
      <c r="E52" s="129">
        <f>GETPIVOTDATA("extrahotelero",'[1]Evolución mensual zonas y categ'!$A$49,"MES","agosto","AÑO",2008)</f>
        <v>228246</v>
      </c>
      <c r="F52" s="129">
        <f>GETPIVOTDATA("total",'[1]Evolución mensual zonas y categ'!$A$49,"MES","agosto","AÑO",2008)</f>
        <v>531765</v>
      </c>
      <c r="G52" s="129">
        <f>GETPIVOTDATA("Hotelero",'[1]Evolución mensual zonas y categ'!$A$49,"MES","agosto","AÑO",2009)</f>
        <v>270226</v>
      </c>
      <c r="H52" s="129">
        <f>GETPIVOTDATA("extrahotelero",'[1]Evolución mensual zonas y categ'!$A$49,"MES","agosto","AÑO",2009)</f>
        <v>197556</v>
      </c>
      <c r="I52" s="129">
        <f>GETPIVOTDATA("total",'[1]Evolución mensual zonas y categ'!$A$49,"MES","agosto","AÑO",2009)</f>
        <v>467782</v>
      </c>
      <c r="J52" s="129">
        <f>GETPIVOTDATA("Hotelero",'[1]Evolución mensual zonas y categ'!$A$49,"MES","agosto","AÑO",2010)</f>
        <v>0</v>
      </c>
      <c r="K52" s="129">
        <f>GETPIVOTDATA("extrahotelero",'[1]Evolución mensual zonas y categ'!$A$49,"MES","agosto","AÑO",2010)</f>
        <v>0</v>
      </c>
      <c r="L52" s="129">
        <f>GETPIVOTDATA("total",'[1]Evolución mensual zonas y categ'!$A$49,"MES","agosto","AÑO",2010)</f>
        <v>0</v>
      </c>
      <c r="M52" s="151">
        <f t="shared" si="3"/>
        <v>-0.10969000293227116</v>
      </c>
      <c r="N52" s="151">
        <f t="shared" si="3"/>
        <v>-0.13446018769222678</v>
      </c>
      <c r="O52" s="151">
        <f t="shared" si="4"/>
        <v>-0.12032194672458696</v>
      </c>
      <c r="P52" s="151"/>
      <c r="Q52" s="151"/>
      <c r="R52" s="151"/>
    </row>
    <row r="53" spans="3:18">
      <c r="C53" s="150" t="s">
        <v>65</v>
      </c>
      <c r="D53" s="129">
        <f>GETPIVOTDATA("Hotelero",'[1]Evolución mensual zonas y categ'!$A$49,"MES","septiembre","AÑO",2008)</f>
        <v>240281</v>
      </c>
      <c r="E53" s="129">
        <f>GETPIVOTDATA("extrahotelero",'[1]Evolución mensual zonas y categ'!$A$49,"MES","septiembre","AÑO",2008)</f>
        <v>151078</v>
      </c>
      <c r="F53" s="129">
        <f>GETPIVOTDATA("total",'[1]Evolución mensual zonas y categ'!$A$49,"MES","septiembre","AÑO",2008)</f>
        <v>391359</v>
      </c>
      <c r="G53" s="129">
        <f>GETPIVOTDATA("Hotelero",'[1]Evolución mensual zonas y categ'!$A$49,"MES","septiembre","AÑO",2009)</f>
        <v>213848</v>
      </c>
      <c r="H53" s="129">
        <f>GETPIVOTDATA("extrahotelero",'[1]Evolución mensual zonas y categ'!$A$49,"MES","septiembre","AÑO",2009)</f>
        <v>140366</v>
      </c>
      <c r="I53" s="129">
        <f>GETPIVOTDATA("total",'[1]Evolución mensual zonas y categ'!$A$49,"MES","septiembre","AÑO",2009)</f>
        <v>354214</v>
      </c>
      <c r="J53" s="129">
        <f>GETPIVOTDATA("Hotelero",'[1]Evolución mensual zonas y categ'!$A$49,"MES","septiembre","AÑO",2010)</f>
        <v>0</v>
      </c>
      <c r="K53" s="129">
        <f>GETPIVOTDATA("extrahotelero",'[1]Evolución mensual zonas y categ'!$A$49,"MES","septiembre","AÑO",2010)</f>
        <v>0</v>
      </c>
      <c r="L53" s="129">
        <f>GETPIVOTDATA("total",'[1]Evolución mensual zonas y categ'!$A$49,"MES","septiembre","AÑO",2010)</f>
        <v>0</v>
      </c>
      <c r="M53" s="151">
        <f t="shared" si="3"/>
        <v>-0.11000869814925029</v>
      </c>
      <c r="N53" s="151">
        <f t="shared" si="3"/>
        <v>-7.0903771561709794E-2</v>
      </c>
      <c r="O53" s="151">
        <f t="shared" si="4"/>
        <v>-9.4912854949036563E-2</v>
      </c>
      <c r="P53" s="151"/>
      <c r="Q53" s="151"/>
      <c r="R53" s="151"/>
    </row>
    <row r="54" spans="3:18">
      <c r="C54" s="150" t="s">
        <v>66</v>
      </c>
      <c r="D54" s="129">
        <f>GETPIVOTDATA("Hotelero",'[1]Evolución mensual zonas y categ'!$A$49,"MES","octubre","AÑO",2008)</f>
        <v>257888</v>
      </c>
      <c r="E54" s="129">
        <f>GETPIVOTDATA("extrahotelero",'[1]Evolución mensual zonas y categ'!$A$49,"MES","octubre","AÑO",2008)</f>
        <v>183969</v>
      </c>
      <c r="F54" s="129">
        <f>GETPIVOTDATA("total",'[1]Evolución mensual zonas y categ'!$A$49,"MES","octubre","AÑO",2008)</f>
        <v>441857</v>
      </c>
      <c r="G54" s="129">
        <f>GETPIVOTDATA("Hotelero",'[1]Evolución mensual zonas y categ'!$A$49,"MES","octubre","AÑO",2009)</f>
        <v>240086</v>
      </c>
      <c r="H54" s="129">
        <f>GETPIVOTDATA("extrahotelero",'[1]Evolución mensual zonas y categ'!$A$49,"MES","octubre","AÑO",2009)</f>
        <v>164785</v>
      </c>
      <c r="I54" s="129">
        <f>GETPIVOTDATA("total",'[1]Evolución mensual zonas y categ'!$A$49,"MES","octubre","AÑO",2009)</f>
        <v>404871</v>
      </c>
      <c r="J54" s="129">
        <f>GETPIVOTDATA("Hotelero",'[1]Evolución mensual zonas y categ'!$A$49,"MES","octubre","AÑO",2010)</f>
        <v>0</v>
      </c>
      <c r="K54" s="129">
        <f>GETPIVOTDATA("extrahotelero",'[1]Evolución mensual zonas y categ'!$A$49,"MES","octubre","AÑO",2010)</f>
        <v>0</v>
      </c>
      <c r="L54" s="129">
        <f>GETPIVOTDATA("total",'[1]Evolución mensual zonas y categ'!$A$49,"MES","octubre","AÑO",2010)</f>
        <v>0</v>
      </c>
      <c r="M54" s="151">
        <f t="shared" si="3"/>
        <v>-6.9029966497084039E-2</v>
      </c>
      <c r="N54" s="151">
        <f t="shared" si="3"/>
        <v>-0.10427843821513405</v>
      </c>
      <c r="O54" s="151">
        <f t="shared" si="4"/>
        <v>-8.3705814324543937E-2</v>
      </c>
      <c r="P54" s="151"/>
      <c r="Q54" s="151"/>
      <c r="R54" s="151"/>
    </row>
    <row r="55" spans="3:18">
      <c r="C55" s="150" t="s">
        <v>67</v>
      </c>
      <c r="D55" s="129">
        <f>GETPIVOTDATA("Hotelero",'[1]Evolución mensual zonas y categ'!$A$49,"MES","noviembre","AÑO",2008)</f>
        <v>246435</v>
      </c>
      <c r="E55" s="129">
        <f>GETPIVOTDATA("extrahotelero",'[1]Evolución mensual zonas y categ'!$A$49,"MES","noviembre","AÑO",2008)</f>
        <v>185305</v>
      </c>
      <c r="F55" s="129">
        <f>GETPIVOTDATA("total",'[1]Evolución mensual zonas y categ'!$A$49,"MES","noviembre","AÑO",2008)</f>
        <v>431740</v>
      </c>
      <c r="G55" s="129">
        <f>GETPIVOTDATA("Hotelero",'[1]Evolución mensual zonas y categ'!$A$49,"MES","noviembre","AÑO",2009)</f>
        <v>225248</v>
      </c>
      <c r="H55" s="129">
        <f>GETPIVOTDATA("extrahotelero",'[1]Evolución mensual zonas y categ'!$A$49,"MES","noviembre","AÑO",2009)</f>
        <v>146554</v>
      </c>
      <c r="I55" s="129">
        <f>GETPIVOTDATA("total",'[1]Evolución mensual zonas y categ'!$A$49,"MES","noviembre","AÑO",2009)</f>
        <v>371802</v>
      </c>
      <c r="J55" s="129">
        <f>GETPIVOTDATA("Hotelero",'[1]Evolución mensual zonas y categ'!$A$49,"MES","noviembre","AÑO",2010)</f>
        <v>0</v>
      </c>
      <c r="K55" s="129">
        <f>GETPIVOTDATA("extrahotelero",'[1]Evolución mensual zonas y categ'!$A$49,"MES","noviembre","AÑO",2010)</f>
        <v>0</v>
      </c>
      <c r="L55" s="129">
        <f>GETPIVOTDATA("total",'[1]Evolución mensual zonas y categ'!$A$49,"MES","noviembre","AÑO",2010)</f>
        <v>0</v>
      </c>
      <c r="M55" s="151">
        <f t="shared" si="3"/>
        <v>-8.5973989084342728E-2</v>
      </c>
      <c r="N55" s="151">
        <f t="shared" si="3"/>
        <v>-0.2091200992957557</v>
      </c>
      <c r="O55" s="151">
        <f t="shared" si="4"/>
        <v>-0.1388289248158614</v>
      </c>
      <c r="P55" s="151"/>
      <c r="Q55" s="151"/>
      <c r="R55" s="151"/>
    </row>
    <row r="56" spans="3:18">
      <c r="C56" s="150" t="s">
        <v>68</v>
      </c>
      <c r="D56" s="129">
        <f>GETPIVOTDATA("Hotelero",'[1]Evolución mensual zonas y categ'!$A$49,"MES","diciembre","AÑO",2008)</f>
        <v>234207</v>
      </c>
      <c r="E56" s="129">
        <f>GETPIVOTDATA("extrahotelero",'[1]Evolución mensual zonas y categ'!$A$49,"MES","diciembre","AÑO",2008)</f>
        <v>175996</v>
      </c>
      <c r="F56" s="129">
        <f>GETPIVOTDATA("total",'[1]Evolución mensual zonas y categ'!$A$49,"MES","diciembre","AÑO",2008)</f>
        <v>410203</v>
      </c>
      <c r="G56" s="129">
        <f>GETPIVOTDATA("Hotelero",'[1]Evolución mensual zonas y categ'!$A$49,"MES","diciembre","AÑO",2009)</f>
        <v>226348</v>
      </c>
      <c r="H56" s="129">
        <f>GETPIVOTDATA("extrahotelero",'[1]Evolución mensual zonas y categ'!$A$49,"MES","diciembre","AÑO",2009)</f>
        <v>154169</v>
      </c>
      <c r="I56" s="129">
        <f>GETPIVOTDATA("total",'[1]Evolución mensual zonas y categ'!$A$49,"MES","diciembre","AÑO",2009)</f>
        <v>380517</v>
      </c>
      <c r="J56" s="129">
        <f>GETPIVOTDATA("Hotelero",'[1]Evolución mensual zonas y categ'!$A$49,"MES","diciembre","AÑO",2010)</f>
        <v>0</v>
      </c>
      <c r="K56" s="129">
        <f>GETPIVOTDATA("extrahotelero",'[1]Evolución mensual zonas y categ'!$A$49,"MES","diciembre","AÑO",2010)</f>
        <v>0</v>
      </c>
      <c r="L56" s="129">
        <f>GETPIVOTDATA("total",'[1]Evolución mensual zonas y categ'!$A$49,"MES","diciembre","AÑO",2010)</f>
        <v>0</v>
      </c>
      <c r="M56" s="151">
        <f t="shared" si="3"/>
        <v>-3.3555786120824771E-2</v>
      </c>
      <c r="N56" s="151">
        <f t="shared" si="3"/>
        <v>-0.12401986408782018</v>
      </c>
      <c r="O56" s="151">
        <f t="shared" si="4"/>
        <v>-7.2369046545247118E-2</v>
      </c>
      <c r="P56" s="151"/>
      <c r="Q56" s="151"/>
      <c r="R56" s="151"/>
    </row>
    <row r="57" spans="3:18">
      <c r="C57" s="132" t="s">
        <v>102</v>
      </c>
      <c r="D57" s="133">
        <f>GETPIVOTDATA("Hotelero",'[1]Evolución mensual zonas y categ'!$A$49,"AÑO",2008)</f>
        <v>3118003</v>
      </c>
      <c r="E57" s="133">
        <f>GETPIVOTDATA("Extrahotelero",'[1]Evolución mensual zonas y categ'!$A$49,"AÑO",2008)</f>
        <v>2174324</v>
      </c>
      <c r="F57" s="133">
        <f>GETPIVOTDATA("Total",'[1]Evolución mensual zonas y categ'!$A$49,"AÑO",2008)</f>
        <v>5292327</v>
      </c>
      <c r="G57" s="133">
        <f>GETPIVOTDATA("Hotelero",'[1]Evolución mensual zonas y categ'!$A$49,"AÑO",2009)</f>
        <v>2781576</v>
      </c>
      <c r="H57" s="133">
        <f>GETPIVOTDATA("Extrahotelero",'[1]Evolución mensual zonas y categ'!$A$49,"AÑO",2009)</f>
        <v>1926206</v>
      </c>
      <c r="I57" s="133">
        <f>GETPIVOTDATA("Total",'[1]Evolución mensual zonas y categ'!$A$49,"AÑO",2009)</f>
        <v>4707782</v>
      </c>
      <c r="J57" s="133">
        <f>GETPIVOTDATA("Hotelero",'[1]Evolución mensual zonas y categ'!$A$49,"AÑO",2010)</f>
        <v>1677828</v>
      </c>
      <c r="K57" s="133">
        <f>GETPIVOTDATA("Extrahotelero",'[1]Evolución mensual zonas y categ'!$A$49,"AÑO",2010)</f>
        <v>1088365</v>
      </c>
      <c r="L57" s="133">
        <f>GETPIVOTDATA("Total",'[1]Evolución mensual zonas y categ'!$A$49,"AÑO",2010)</f>
        <v>2766193</v>
      </c>
      <c r="M57" s="143">
        <f t="shared" si="3"/>
        <v>-0.10789822844942742</v>
      </c>
      <c r="N57" s="143">
        <f t="shared" si="3"/>
        <v>-0.11411270813365437</v>
      </c>
      <c r="O57" s="143">
        <f t="shared" si="4"/>
        <v>-0.11045141390545221</v>
      </c>
      <c r="P57" s="143"/>
      <c r="Q57" s="143"/>
      <c r="R57" s="143"/>
    </row>
    <row r="58" spans="3:18" ht="15" customHeight="1">
      <c r="C58" s="136" t="s">
        <v>77</v>
      </c>
      <c r="D58" s="137"/>
      <c r="E58" s="137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8"/>
    </row>
  </sheetData>
  <mergeCells count="21">
    <mergeCell ref="C58:R58"/>
    <mergeCell ref="C38:R38"/>
    <mergeCell ref="C42:R42"/>
    <mergeCell ref="D43:F43"/>
    <mergeCell ref="G43:I43"/>
    <mergeCell ref="J43:L43"/>
    <mergeCell ref="M43:O43"/>
    <mergeCell ref="P43:R43"/>
    <mergeCell ref="C19:R19"/>
    <mergeCell ref="C22:R22"/>
    <mergeCell ref="D23:F23"/>
    <mergeCell ref="G23:I23"/>
    <mergeCell ref="J23:L23"/>
    <mergeCell ref="M23:O23"/>
    <mergeCell ref="P23:R23"/>
    <mergeCell ref="C3:R3"/>
    <mergeCell ref="D4:F4"/>
    <mergeCell ref="G4:I4"/>
    <mergeCell ref="J4:L4"/>
    <mergeCell ref="M4:O4"/>
    <mergeCell ref="P4:R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1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4">
    <tabColor theme="4" tint="-0.499984740745262"/>
    <pageSetUpPr autoPageBreaks="0" fitToPage="1"/>
  </sheetPr>
  <dimension ref="D6:N82"/>
  <sheetViews>
    <sheetView showGridLines="0" showRowColHeaders="0" showOutlineSymbols="0" topLeftCell="A4" zoomScaleNormal="100" workbookViewId="0">
      <selection activeCell="B25" sqref="B25"/>
    </sheetView>
  </sheetViews>
  <sheetFormatPr baseColWidth="10" defaultRowHeight="12.75"/>
  <cols>
    <col min="1" max="2" width="11.42578125" style="2"/>
    <col min="3" max="3" width="7.42578125" style="2" customWidth="1"/>
    <col min="4" max="5" width="10.7109375" style="2" customWidth="1"/>
    <col min="6" max="6" width="73.85546875" style="2" bestFit="1" customWidth="1"/>
    <col min="7" max="7" width="10.7109375" style="2" customWidth="1"/>
    <col min="8" max="258" width="11.42578125" style="2"/>
    <col min="259" max="259" width="7.42578125" style="2" customWidth="1"/>
    <col min="260" max="261" width="10.7109375" style="2" customWidth="1"/>
    <col min="262" max="262" width="73.85546875" style="2" bestFit="1" customWidth="1"/>
    <col min="263" max="263" width="10.7109375" style="2" customWidth="1"/>
    <col min="264" max="514" width="11.42578125" style="2"/>
    <col min="515" max="515" width="7.42578125" style="2" customWidth="1"/>
    <col min="516" max="517" width="10.7109375" style="2" customWidth="1"/>
    <col min="518" max="518" width="73.85546875" style="2" bestFit="1" customWidth="1"/>
    <col min="519" max="519" width="10.7109375" style="2" customWidth="1"/>
    <col min="520" max="770" width="11.42578125" style="2"/>
    <col min="771" max="771" width="7.42578125" style="2" customWidth="1"/>
    <col min="772" max="773" width="10.7109375" style="2" customWidth="1"/>
    <col min="774" max="774" width="73.85546875" style="2" bestFit="1" customWidth="1"/>
    <col min="775" max="775" width="10.7109375" style="2" customWidth="1"/>
    <col min="776" max="1026" width="11.42578125" style="2"/>
    <col min="1027" max="1027" width="7.42578125" style="2" customWidth="1"/>
    <col min="1028" max="1029" width="10.7109375" style="2" customWidth="1"/>
    <col min="1030" max="1030" width="73.85546875" style="2" bestFit="1" customWidth="1"/>
    <col min="1031" max="1031" width="10.7109375" style="2" customWidth="1"/>
    <col min="1032" max="1282" width="11.42578125" style="2"/>
    <col min="1283" max="1283" width="7.42578125" style="2" customWidth="1"/>
    <col min="1284" max="1285" width="10.7109375" style="2" customWidth="1"/>
    <col min="1286" max="1286" width="73.85546875" style="2" bestFit="1" customWidth="1"/>
    <col min="1287" max="1287" width="10.7109375" style="2" customWidth="1"/>
    <col min="1288" max="1538" width="11.42578125" style="2"/>
    <col min="1539" max="1539" width="7.42578125" style="2" customWidth="1"/>
    <col min="1540" max="1541" width="10.7109375" style="2" customWidth="1"/>
    <col min="1542" max="1542" width="73.85546875" style="2" bestFit="1" customWidth="1"/>
    <col min="1543" max="1543" width="10.7109375" style="2" customWidth="1"/>
    <col min="1544" max="1794" width="11.42578125" style="2"/>
    <col min="1795" max="1795" width="7.42578125" style="2" customWidth="1"/>
    <col min="1796" max="1797" width="10.7109375" style="2" customWidth="1"/>
    <col min="1798" max="1798" width="73.85546875" style="2" bestFit="1" customWidth="1"/>
    <col min="1799" max="1799" width="10.7109375" style="2" customWidth="1"/>
    <col min="1800" max="2050" width="11.42578125" style="2"/>
    <col min="2051" max="2051" width="7.42578125" style="2" customWidth="1"/>
    <col min="2052" max="2053" width="10.7109375" style="2" customWidth="1"/>
    <col min="2054" max="2054" width="73.85546875" style="2" bestFit="1" customWidth="1"/>
    <col min="2055" max="2055" width="10.7109375" style="2" customWidth="1"/>
    <col min="2056" max="2306" width="11.42578125" style="2"/>
    <col min="2307" max="2307" width="7.42578125" style="2" customWidth="1"/>
    <col min="2308" max="2309" width="10.7109375" style="2" customWidth="1"/>
    <col min="2310" max="2310" width="73.85546875" style="2" bestFit="1" customWidth="1"/>
    <col min="2311" max="2311" width="10.7109375" style="2" customWidth="1"/>
    <col min="2312" max="2562" width="11.42578125" style="2"/>
    <col min="2563" max="2563" width="7.42578125" style="2" customWidth="1"/>
    <col min="2564" max="2565" width="10.7109375" style="2" customWidth="1"/>
    <col min="2566" max="2566" width="73.85546875" style="2" bestFit="1" customWidth="1"/>
    <col min="2567" max="2567" width="10.7109375" style="2" customWidth="1"/>
    <col min="2568" max="2818" width="11.42578125" style="2"/>
    <col min="2819" max="2819" width="7.42578125" style="2" customWidth="1"/>
    <col min="2820" max="2821" width="10.7109375" style="2" customWidth="1"/>
    <col min="2822" max="2822" width="73.85546875" style="2" bestFit="1" customWidth="1"/>
    <col min="2823" max="2823" width="10.7109375" style="2" customWidth="1"/>
    <col min="2824" max="3074" width="11.42578125" style="2"/>
    <col min="3075" max="3075" width="7.42578125" style="2" customWidth="1"/>
    <col min="3076" max="3077" width="10.7109375" style="2" customWidth="1"/>
    <col min="3078" max="3078" width="73.85546875" style="2" bestFit="1" customWidth="1"/>
    <col min="3079" max="3079" width="10.7109375" style="2" customWidth="1"/>
    <col min="3080" max="3330" width="11.42578125" style="2"/>
    <col min="3331" max="3331" width="7.42578125" style="2" customWidth="1"/>
    <col min="3332" max="3333" width="10.7109375" style="2" customWidth="1"/>
    <col min="3334" max="3334" width="73.85546875" style="2" bestFit="1" customWidth="1"/>
    <col min="3335" max="3335" width="10.7109375" style="2" customWidth="1"/>
    <col min="3336" max="3586" width="11.42578125" style="2"/>
    <col min="3587" max="3587" width="7.42578125" style="2" customWidth="1"/>
    <col min="3588" max="3589" width="10.7109375" style="2" customWidth="1"/>
    <col min="3590" max="3590" width="73.85546875" style="2" bestFit="1" customWidth="1"/>
    <col min="3591" max="3591" width="10.7109375" style="2" customWidth="1"/>
    <col min="3592" max="3842" width="11.42578125" style="2"/>
    <col min="3843" max="3843" width="7.42578125" style="2" customWidth="1"/>
    <col min="3844" max="3845" width="10.7109375" style="2" customWidth="1"/>
    <col min="3846" max="3846" width="73.85546875" style="2" bestFit="1" customWidth="1"/>
    <col min="3847" max="3847" width="10.7109375" style="2" customWidth="1"/>
    <col min="3848" max="4098" width="11.42578125" style="2"/>
    <col min="4099" max="4099" width="7.42578125" style="2" customWidth="1"/>
    <col min="4100" max="4101" width="10.7109375" style="2" customWidth="1"/>
    <col min="4102" max="4102" width="73.85546875" style="2" bestFit="1" customWidth="1"/>
    <col min="4103" max="4103" width="10.7109375" style="2" customWidth="1"/>
    <col min="4104" max="4354" width="11.42578125" style="2"/>
    <col min="4355" max="4355" width="7.42578125" style="2" customWidth="1"/>
    <col min="4356" max="4357" width="10.7109375" style="2" customWidth="1"/>
    <col min="4358" max="4358" width="73.85546875" style="2" bestFit="1" customWidth="1"/>
    <col min="4359" max="4359" width="10.7109375" style="2" customWidth="1"/>
    <col min="4360" max="4610" width="11.42578125" style="2"/>
    <col min="4611" max="4611" width="7.42578125" style="2" customWidth="1"/>
    <col min="4612" max="4613" width="10.7109375" style="2" customWidth="1"/>
    <col min="4614" max="4614" width="73.85546875" style="2" bestFit="1" customWidth="1"/>
    <col min="4615" max="4615" width="10.7109375" style="2" customWidth="1"/>
    <col min="4616" max="4866" width="11.42578125" style="2"/>
    <col min="4867" max="4867" width="7.42578125" style="2" customWidth="1"/>
    <col min="4868" max="4869" width="10.7109375" style="2" customWidth="1"/>
    <col min="4870" max="4870" width="73.85546875" style="2" bestFit="1" customWidth="1"/>
    <col min="4871" max="4871" width="10.7109375" style="2" customWidth="1"/>
    <col min="4872" max="5122" width="11.42578125" style="2"/>
    <col min="5123" max="5123" width="7.42578125" style="2" customWidth="1"/>
    <col min="5124" max="5125" width="10.7109375" style="2" customWidth="1"/>
    <col min="5126" max="5126" width="73.85546875" style="2" bestFit="1" customWidth="1"/>
    <col min="5127" max="5127" width="10.7109375" style="2" customWidth="1"/>
    <col min="5128" max="5378" width="11.42578125" style="2"/>
    <col min="5379" max="5379" width="7.42578125" style="2" customWidth="1"/>
    <col min="5380" max="5381" width="10.7109375" style="2" customWidth="1"/>
    <col min="5382" max="5382" width="73.85546875" style="2" bestFit="1" customWidth="1"/>
    <col min="5383" max="5383" width="10.7109375" style="2" customWidth="1"/>
    <col min="5384" max="5634" width="11.42578125" style="2"/>
    <col min="5635" max="5635" width="7.42578125" style="2" customWidth="1"/>
    <col min="5636" max="5637" width="10.7109375" style="2" customWidth="1"/>
    <col min="5638" max="5638" width="73.85546875" style="2" bestFit="1" customWidth="1"/>
    <col min="5639" max="5639" width="10.7109375" style="2" customWidth="1"/>
    <col min="5640" max="5890" width="11.42578125" style="2"/>
    <col min="5891" max="5891" width="7.42578125" style="2" customWidth="1"/>
    <col min="5892" max="5893" width="10.7109375" style="2" customWidth="1"/>
    <col min="5894" max="5894" width="73.85546875" style="2" bestFit="1" customWidth="1"/>
    <col min="5895" max="5895" width="10.7109375" style="2" customWidth="1"/>
    <col min="5896" max="6146" width="11.42578125" style="2"/>
    <col min="6147" max="6147" width="7.42578125" style="2" customWidth="1"/>
    <col min="6148" max="6149" width="10.7109375" style="2" customWidth="1"/>
    <col min="6150" max="6150" width="73.85546875" style="2" bestFit="1" customWidth="1"/>
    <col min="6151" max="6151" width="10.7109375" style="2" customWidth="1"/>
    <col min="6152" max="6402" width="11.42578125" style="2"/>
    <col min="6403" max="6403" width="7.42578125" style="2" customWidth="1"/>
    <col min="6404" max="6405" width="10.7109375" style="2" customWidth="1"/>
    <col min="6406" max="6406" width="73.85546875" style="2" bestFit="1" customWidth="1"/>
    <col min="6407" max="6407" width="10.7109375" style="2" customWidth="1"/>
    <col min="6408" max="6658" width="11.42578125" style="2"/>
    <col min="6659" max="6659" width="7.42578125" style="2" customWidth="1"/>
    <col min="6660" max="6661" width="10.7109375" style="2" customWidth="1"/>
    <col min="6662" max="6662" width="73.85546875" style="2" bestFit="1" customWidth="1"/>
    <col min="6663" max="6663" width="10.7109375" style="2" customWidth="1"/>
    <col min="6664" max="6914" width="11.42578125" style="2"/>
    <col min="6915" max="6915" width="7.42578125" style="2" customWidth="1"/>
    <col min="6916" max="6917" width="10.7109375" style="2" customWidth="1"/>
    <col min="6918" max="6918" width="73.85546875" style="2" bestFit="1" customWidth="1"/>
    <col min="6919" max="6919" width="10.7109375" style="2" customWidth="1"/>
    <col min="6920" max="7170" width="11.42578125" style="2"/>
    <col min="7171" max="7171" width="7.42578125" style="2" customWidth="1"/>
    <col min="7172" max="7173" width="10.7109375" style="2" customWidth="1"/>
    <col min="7174" max="7174" width="73.85546875" style="2" bestFit="1" customWidth="1"/>
    <col min="7175" max="7175" width="10.7109375" style="2" customWidth="1"/>
    <col min="7176" max="7426" width="11.42578125" style="2"/>
    <col min="7427" max="7427" width="7.42578125" style="2" customWidth="1"/>
    <col min="7428" max="7429" width="10.7109375" style="2" customWidth="1"/>
    <col min="7430" max="7430" width="73.85546875" style="2" bestFit="1" customWidth="1"/>
    <col min="7431" max="7431" width="10.7109375" style="2" customWidth="1"/>
    <col min="7432" max="7682" width="11.42578125" style="2"/>
    <col min="7683" max="7683" width="7.42578125" style="2" customWidth="1"/>
    <col min="7684" max="7685" width="10.7109375" style="2" customWidth="1"/>
    <col min="7686" max="7686" width="73.85546875" style="2" bestFit="1" customWidth="1"/>
    <col min="7687" max="7687" width="10.7109375" style="2" customWidth="1"/>
    <col min="7688" max="7938" width="11.42578125" style="2"/>
    <col min="7939" max="7939" width="7.42578125" style="2" customWidth="1"/>
    <col min="7940" max="7941" width="10.7109375" style="2" customWidth="1"/>
    <col min="7942" max="7942" width="73.85546875" style="2" bestFit="1" customWidth="1"/>
    <col min="7943" max="7943" width="10.7109375" style="2" customWidth="1"/>
    <col min="7944" max="8194" width="11.42578125" style="2"/>
    <col min="8195" max="8195" width="7.42578125" style="2" customWidth="1"/>
    <col min="8196" max="8197" width="10.7109375" style="2" customWidth="1"/>
    <col min="8198" max="8198" width="73.85546875" style="2" bestFit="1" customWidth="1"/>
    <col min="8199" max="8199" width="10.7109375" style="2" customWidth="1"/>
    <col min="8200" max="8450" width="11.42578125" style="2"/>
    <col min="8451" max="8451" width="7.42578125" style="2" customWidth="1"/>
    <col min="8452" max="8453" width="10.7109375" style="2" customWidth="1"/>
    <col min="8454" max="8454" width="73.85546875" style="2" bestFit="1" customWidth="1"/>
    <col min="8455" max="8455" width="10.7109375" style="2" customWidth="1"/>
    <col min="8456" max="8706" width="11.42578125" style="2"/>
    <col min="8707" max="8707" width="7.42578125" style="2" customWidth="1"/>
    <col min="8708" max="8709" width="10.7109375" style="2" customWidth="1"/>
    <col min="8710" max="8710" width="73.85546875" style="2" bestFit="1" customWidth="1"/>
    <col min="8711" max="8711" width="10.7109375" style="2" customWidth="1"/>
    <col min="8712" max="8962" width="11.42578125" style="2"/>
    <col min="8963" max="8963" width="7.42578125" style="2" customWidth="1"/>
    <col min="8964" max="8965" width="10.7109375" style="2" customWidth="1"/>
    <col min="8966" max="8966" width="73.85546875" style="2" bestFit="1" customWidth="1"/>
    <col min="8967" max="8967" width="10.7109375" style="2" customWidth="1"/>
    <col min="8968" max="9218" width="11.42578125" style="2"/>
    <col min="9219" max="9219" width="7.42578125" style="2" customWidth="1"/>
    <col min="9220" max="9221" width="10.7109375" style="2" customWidth="1"/>
    <col min="9222" max="9222" width="73.85546875" style="2" bestFit="1" customWidth="1"/>
    <col min="9223" max="9223" width="10.7109375" style="2" customWidth="1"/>
    <col min="9224" max="9474" width="11.42578125" style="2"/>
    <col min="9475" max="9475" width="7.42578125" style="2" customWidth="1"/>
    <col min="9476" max="9477" width="10.7109375" style="2" customWidth="1"/>
    <col min="9478" max="9478" width="73.85546875" style="2" bestFit="1" customWidth="1"/>
    <col min="9479" max="9479" width="10.7109375" style="2" customWidth="1"/>
    <col min="9480" max="9730" width="11.42578125" style="2"/>
    <col min="9731" max="9731" width="7.42578125" style="2" customWidth="1"/>
    <col min="9732" max="9733" width="10.7109375" style="2" customWidth="1"/>
    <col min="9734" max="9734" width="73.85546875" style="2" bestFit="1" customWidth="1"/>
    <col min="9735" max="9735" width="10.7109375" style="2" customWidth="1"/>
    <col min="9736" max="9986" width="11.42578125" style="2"/>
    <col min="9987" max="9987" width="7.42578125" style="2" customWidth="1"/>
    <col min="9988" max="9989" width="10.7109375" style="2" customWidth="1"/>
    <col min="9990" max="9990" width="73.85546875" style="2" bestFit="1" customWidth="1"/>
    <col min="9991" max="9991" width="10.7109375" style="2" customWidth="1"/>
    <col min="9992" max="10242" width="11.42578125" style="2"/>
    <col min="10243" max="10243" width="7.42578125" style="2" customWidth="1"/>
    <col min="10244" max="10245" width="10.7109375" style="2" customWidth="1"/>
    <col min="10246" max="10246" width="73.85546875" style="2" bestFit="1" customWidth="1"/>
    <col min="10247" max="10247" width="10.7109375" style="2" customWidth="1"/>
    <col min="10248" max="10498" width="11.42578125" style="2"/>
    <col min="10499" max="10499" width="7.42578125" style="2" customWidth="1"/>
    <col min="10500" max="10501" width="10.7109375" style="2" customWidth="1"/>
    <col min="10502" max="10502" width="73.85546875" style="2" bestFit="1" customWidth="1"/>
    <col min="10503" max="10503" width="10.7109375" style="2" customWidth="1"/>
    <col min="10504" max="10754" width="11.42578125" style="2"/>
    <col min="10755" max="10755" width="7.42578125" style="2" customWidth="1"/>
    <col min="10756" max="10757" width="10.7109375" style="2" customWidth="1"/>
    <col min="10758" max="10758" width="73.85546875" style="2" bestFit="1" customWidth="1"/>
    <col min="10759" max="10759" width="10.7109375" style="2" customWidth="1"/>
    <col min="10760" max="11010" width="11.42578125" style="2"/>
    <col min="11011" max="11011" width="7.42578125" style="2" customWidth="1"/>
    <col min="11012" max="11013" width="10.7109375" style="2" customWidth="1"/>
    <col min="11014" max="11014" width="73.85546875" style="2" bestFit="1" customWidth="1"/>
    <col min="11015" max="11015" width="10.7109375" style="2" customWidth="1"/>
    <col min="11016" max="11266" width="11.42578125" style="2"/>
    <col min="11267" max="11267" width="7.42578125" style="2" customWidth="1"/>
    <col min="11268" max="11269" width="10.7109375" style="2" customWidth="1"/>
    <col min="11270" max="11270" width="73.85546875" style="2" bestFit="1" customWidth="1"/>
    <col min="11271" max="11271" width="10.7109375" style="2" customWidth="1"/>
    <col min="11272" max="11522" width="11.42578125" style="2"/>
    <col min="11523" max="11523" width="7.42578125" style="2" customWidth="1"/>
    <col min="11524" max="11525" width="10.7109375" style="2" customWidth="1"/>
    <col min="11526" max="11526" width="73.85546875" style="2" bestFit="1" customWidth="1"/>
    <col min="11527" max="11527" width="10.7109375" style="2" customWidth="1"/>
    <col min="11528" max="11778" width="11.42578125" style="2"/>
    <col min="11779" max="11779" width="7.42578125" style="2" customWidth="1"/>
    <col min="11780" max="11781" width="10.7109375" style="2" customWidth="1"/>
    <col min="11782" max="11782" width="73.85546875" style="2" bestFit="1" customWidth="1"/>
    <col min="11783" max="11783" width="10.7109375" style="2" customWidth="1"/>
    <col min="11784" max="12034" width="11.42578125" style="2"/>
    <col min="12035" max="12035" width="7.42578125" style="2" customWidth="1"/>
    <col min="12036" max="12037" width="10.7109375" style="2" customWidth="1"/>
    <col min="12038" max="12038" width="73.85546875" style="2" bestFit="1" customWidth="1"/>
    <col min="12039" max="12039" width="10.7109375" style="2" customWidth="1"/>
    <col min="12040" max="12290" width="11.42578125" style="2"/>
    <col min="12291" max="12291" width="7.42578125" style="2" customWidth="1"/>
    <col min="12292" max="12293" width="10.7109375" style="2" customWidth="1"/>
    <col min="12294" max="12294" width="73.85546875" style="2" bestFit="1" customWidth="1"/>
    <col min="12295" max="12295" width="10.7109375" style="2" customWidth="1"/>
    <col min="12296" max="12546" width="11.42578125" style="2"/>
    <col min="12547" max="12547" width="7.42578125" style="2" customWidth="1"/>
    <col min="12548" max="12549" width="10.7109375" style="2" customWidth="1"/>
    <col min="12550" max="12550" width="73.85546875" style="2" bestFit="1" customWidth="1"/>
    <col min="12551" max="12551" width="10.7109375" style="2" customWidth="1"/>
    <col min="12552" max="12802" width="11.42578125" style="2"/>
    <col min="12803" max="12803" width="7.42578125" style="2" customWidth="1"/>
    <col min="12804" max="12805" width="10.7109375" style="2" customWidth="1"/>
    <col min="12806" max="12806" width="73.85546875" style="2" bestFit="1" customWidth="1"/>
    <col min="12807" max="12807" width="10.7109375" style="2" customWidth="1"/>
    <col min="12808" max="13058" width="11.42578125" style="2"/>
    <col min="13059" max="13059" width="7.42578125" style="2" customWidth="1"/>
    <col min="13060" max="13061" width="10.7109375" style="2" customWidth="1"/>
    <col min="13062" max="13062" width="73.85546875" style="2" bestFit="1" customWidth="1"/>
    <col min="13063" max="13063" width="10.7109375" style="2" customWidth="1"/>
    <col min="13064" max="13314" width="11.42578125" style="2"/>
    <col min="13315" max="13315" width="7.42578125" style="2" customWidth="1"/>
    <col min="13316" max="13317" width="10.7109375" style="2" customWidth="1"/>
    <col min="13318" max="13318" width="73.85546875" style="2" bestFit="1" customWidth="1"/>
    <col min="13319" max="13319" width="10.7109375" style="2" customWidth="1"/>
    <col min="13320" max="13570" width="11.42578125" style="2"/>
    <col min="13571" max="13571" width="7.42578125" style="2" customWidth="1"/>
    <col min="13572" max="13573" width="10.7109375" style="2" customWidth="1"/>
    <col min="13574" max="13574" width="73.85546875" style="2" bestFit="1" customWidth="1"/>
    <col min="13575" max="13575" width="10.7109375" style="2" customWidth="1"/>
    <col min="13576" max="13826" width="11.42578125" style="2"/>
    <col min="13827" max="13827" width="7.42578125" style="2" customWidth="1"/>
    <col min="13828" max="13829" width="10.7109375" style="2" customWidth="1"/>
    <col min="13830" max="13830" width="73.85546875" style="2" bestFit="1" customWidth="1"/>
    <col min="13831" max="13831" width="10.7109375" style="2" customWidth="1"/>
    <col min="13832" max="14082" width="11.42578125" style="2"/>
    <col min="14083" max="14083" width="7.42578125" style="2" customWidth="1"/>
    <col min="14084" max="14085" width="10.7109375" style="2" customWidth="1"/>
    <col min="14086" max="14086" width="73.85546875" style="2" bestFit="1" customWidth="1"/>
    <col min="14087" max="14087" width="10.7109375" style="2" customWidth="1"/>
    <col min="14088" max="14338" width="11.42578125" style="2"/>
    <col min="14339" max="14339" width="7.42578125" style="2" customWidth="1"/>
    <col min="14340" max="14341" width="10.7109375" style="2" customWidth="1"/>
    <col min="14342" max="14342" width="73.85546875" style="2" bestFit="1" customWidth="1"/>
    <col min="14343" max="14343" width="10.7109375" style="2" customWidth="1"/>
    <col min="14344" max="14594" width="11.42578125" style="2"/>
    <col min="14595" max="14595" width="7.42578125" style="2" customWidth="1"/>
    <col min="14596" max="14597" width="10.7109375" style="2" customWidth="1"/>
    <col min="14598" max="14598" width="73.85546875" style="2" bestFit="1" customWidth="1"/>
    <col min="14599" max="14599" width="10.7109375" style="2" customWidth="1"/>
    <col min="14600" max="14850" width="11.42578125" style="2"/>
    <col min="14851" max="14851" width="7.42578125" style="2" customWidth="1"/>
    <col min="14852" max="14853" width="10.7109375" style="2" customWidth="1"/>
    <col min="14854" max="14854" width="73.85546875" style="2" bestFit="1" customWidth="1"/>
    <col min="14855" max="14855" width="10.7109375" style="2" customWidth="1"/>
    <col min="14856" max="15106" width="11.42578125" style="2"/>
    <col min="15107" max="15107" width="7.42578125" style="2" customWidth="1"/>
    <col min="15108" max="15109" width="10.7109375" style="2" customWidth="1"/>
    <col min="15110" max="15110" width="73.85546875" style="2" bestFit="1" customWidth="1"/>
    <col min="15111" max="15111" width="10.7109375" style="2" customWidth="1"/>
    <col min="15112" max="15362" width="11.42578125" style="2"/>
    <col min="15363" max="15363" width="7.42578125" style="2" customWidth="1"/>
    <col min="15364" max="15365" width="10.7109375" style="2" customWidth="1"/>
    <col min="15366" max="15366" width="73.85546875" style="2" bestFit="1" customWidth="1"/>
    <col min="15367" max="15367" width="10.7109375" style="2" customWidth="1"/>
    <col min="15368" max="15618" width="11.42578125" style="2"/>
    <col min="15619" max="15619" width="7.42578125" style="2" customWidth="1"/>
    <col min="15620" max="15621" width="10.7109375" style="2" customWidth="1"/>
    <col min="15622" max="15622" width="73.85546875" style="2" bestFit="1" customWidth="1"/>
    <col min="15623" max="15623" width="10.7109375" style="2" customWidth="1"/>
    <col min="15624" max="15874" width="11.42578125" style="2"/>
    <col min="15875" max="15875" width="7.42578125" style="2" customWidth="1"/>
    <col min="15876" max="15877" width="10.7109375" style="2" customWidth="1"/>
    <col min="15878" max="15878" width="73.85546875" style="2" bestFit="1" customWidth="1"/>
    <col min="15879" max="15879" width="10.7109375" style="2" customWidth="1"/>
    <col min="15880" max="16130" width="11.42578125" style="2"/>
    <col min="16131" max="16131" width="7.42578125" style="2" customWidth="1"/>
    <col min="16132" max="16133" width="10.7109375" style="2" customWidth="1"/>
    <col min="16134" max="16134" width="73.85546875" style="2" bestFit="1" customWidth="1"/>
    <col min="16135" max="16135" width="10.7109375" style="2" customWidth="1"/>
    <col min="16136" max="16384" width="11.42578125" style="2"/>
  </cols>
  <sheetData>
    <row r="6" spans="4:7" ht="30" customHeight="1">
      <c r="D6" s="14" t="s">
        <v>111</v>
      </c>
      <c r="E6" s="14"/>
      <c r="F6" s="14"/>
      <c r="G6" s="14"/>
    </row>
    <row r="7" spans="4:7" ht="15" customHeight="1">
      <c r="D7" s="15"/>
      <c r="E7" s="1"/>
      <c r="F7" s="1"/>
      <c r="G7" s="1"/>
    </row>
    <row r="8" spans="4:7" ht="24.95" customHeight="1">
      <c r="D8" s="15"/>
      <c r="E8" s="24" t="s">
        <v>19</v>
      </c>
      <c r="F8" s="25"/>
      <c r="G8" s="25"/>
    </row>
    <row r="9" spans="4:7" ht="15" customHeight="1">
      <c r="D9" s="15"/>
      <c r="E9" s="1"/>
      <c r="F9" s="1"/>
      <c r="G9" s="1"/>
    </row>
    <row r="10" spans="4:7" ht="15" customHeight="1">
      <c r="D10" s="1"/>
      <c r="E10" s="16" t="s">
        <v>10</v>
      </c>
      <c r="F10" s="6"/>
      <c r="G10" s="6"/>
    </row>
    <row r="11" spans="4:7" ht="20.100000000000001" customHeight="1">
      <c r="D11" s="1"/>
      <c r="E11" s="1"/>
      <c r="F11" s="17"/>
      <c r="G11" s="1"/>
    </row>
    <row r="12" spans="4:7" ht="20.100000000000001" customHeight="1">
      <c r="D12" s="1"/>
      <c r="E12" s="1"/>
      <c r="F12" s="18" t="s">
        <v>22</v>
      </c>
      <c r="G12" s="1"/>
    </row>
    <row r="13" spans="4:7" ht="20.100000000000001" customHeight="1">
      <c r="D13" s="1"/>
      <c r="E13" s="1"/>
      <c r="F13" s="18" t="s">
        <v>21</v>
      </c>
      <c r="G13" s="1"/>
    </row>
    <row r="14" spans="4:7" ht="20.100000000000001" customHeight="1">
      <c r="D14" s="1"/>
      <c r="E14" s="1"/>
      <c r="F14" s="17"/>
      <c r="G14" s="1"/>
    </row>
    <row r="15" spans="4:7" ht="20.100000000000001" customHeight="1">
      <c r="D15" s="1"/>
      <c r="E15" s="16" t="s">
        <v>17</v>
      </c>
      <c r="F15" s="6"/>
      <c r="G15" s="6"/>
    </row>
    <row r="16" spans="4:7" ht="20.100000000000001" customHeight="1">
      <c r="D16" s="1"/>
      <c r="E16" s="1"/>
      <c r="F16" s="17"/>
      <c r="G16" s="1"/>
    </row>
    <row r="17" spans="4:14" ht="20.100000000000001" customHeight="1">
      <c r="D17" s="1"/>
      <c r="E17" s="1"/>
      <c r="F17" s="19" t="s">
        <v>22</v>
      </c>
      <c r="G17" s="1"/>
    </row>
    <row r="18" spans="4:14" ht="20.100000000000001" customHeight="1">
      <c r="D18" s="1"/>
      <c r="E18" s="1"/>
      <c r="F18" s="19" t="s">
        <v>112</v>
      </c>
      <c r="G18" s="1"/>
    </row>
    <row r="19" spans="4:14" ht="20.100000000000001" customHeight="1">
      <c r="D19" s="1"/>
      <c r="E19" s="1"/>
      <c r="F19" s="20"/>
      <c r="G19" s="1"/>
    </row>
    <row r="20" spans="4:14" ht="20.100000000000001" customHeight="1">
      <c r="D20" s="15"/>
      <c r="E20" s="24" t="str">
        <f>actualizaciones!A2</f>
        <v xml:space="preserve">acumulado julio 2010 </v>
      </c>
      <c r="F20" s="25"/>
      <c r="G20" s="25"/>
    </row>
    <row r="21" spans="4:14" ht="15" customHeight="1">
      <c r="D21" s="15"/>
      <c r="E21" s="1"/>
      <c r="F21" s="1"/>
      <c r="G21" s="1"/>
    </row>
    <row r="22" spans="4:14" ht="22.5" customHeight="1">
      <c r="D22" s="1"/>
      <c r="E22" s="16" t="s">
        <v>10</v>
      </c>
      <c r="F22" s="6"/>
      <c r="G22" s="6"/>
    </row>
    <row r="23" spans="4:14" ht="24.95" customHeight="1">
      <c r="D23" s="1"/>
      <c r="E23" s="1"/>
      <c r="F23" s="17"/>
      <c r="G23" s="1"/>
    </row>
    <row r="24" spans="4:14" ht="15" customHeight="1">
      <c r="D24" s="1"/>
      <c r="E24" s="1"/>
      <c r="F24" s="18" t="s">
        <v>24</v>
      </c>
      <c r="G24" s="1"/>
    </row>
    <row r="25" spans="4:14" ht="19.5" customHeight="1">
      <c r="D25" s="1"/>
      <c r="E25" s="1"/>
      <c r="F25" s="17"/>
      <c r="G25" s="1"/>
    </row>
    <row r="26" spans="4:14" ht="20.100000000000001" customHeight="1">
      <c r="D26" s="1"/>
      <c r="E26" s="16" t="s">
        <v>17</v>
      </c>
      <c r="F26" s="6"/>
      <c r="G26" s="6"/>
    </row>
    <row r="27" spans="4:14" ht="20.100000000000001" customHeight="1">
      <c r="D27" s="1"/>
      <c r="E27" s="1"/>
      <c r="F27" s="17"/>
      <c r="G27" s="1"/>
    </row>
    <row r="28" spans="4:14" ht="15" customHeight="1">
      <c r="D28" s="1"/>
      <c r="E28" s="1"/>
      <c r="F28" s="19" t="s">
        <v>112</v>
      </c>
      <c r="G28" s="1"/>
    </row>
    <row r="29" spans="4:14" ht="15" customHeight="1">
      <c r="D29" s="1"/>
      <c r="E29" s="1"/>
      <c r="F29" s="20"/>
      <c r="G29" s="1"/>
    </row>
    <row r="30" spans="4:14" ht="15" customHeight="1">
      <c r="D30" s="21"/>
    </row>
    <row r="31" spans="4:14" ht="15" customHeight="1">
      <c r="D31" s="11" t="s">
        <v>8</v>
      </c>
      <c r="E31" s="11"/>
      <c r="F31" s="11"/>
      <c r="G31" s="11"/>
      <c r="H31" s="12"/>
      <c r="I31" s="12"/>
      <c r="J31" s="12"/>
      <c r="K31" s="12"/>
      <c r="L31" s="12"/>
      <c r="M31" s="12"/>
      <c r="N31" s="12"/>
    </row>
    <row r="32" spans="4:14" ht="15" customHeight="1">
      <c r="D32" s="12"/>
      <c r="E32" s="12"/>
      <c r="F32" s="12"/>
      <c r="G32" s="12"/>
    </row>
    <row r="33" spans="4:6" ht="20.100000000000001" customHeight="1"/>
    <row r="34" spans="4:6" ht="15" customHeight="1"/>
    <row r="35" spans="4:6" ht="15" customHeight="1">
      <c r="E35" s="22"/>
      <c r="F35" s="23"/>
    </row>
    <row r="36" spans="4:6" ht="15" customHeight="1"/>
    <row r="37" spans="4:6" ht="15" customHeight="1">
      <c r="D37" s="21"/>
    </row>
    <row r="38" spans="4:6" ht="15" customHeight="1"/>
    <row r="39" spans="4:6" ht="15" customHeight="1"/>
    <row r="40" spans="4:6" ht="15" customHeight="1"/>
    <row r="41" spans="4:6" ht="15" customHeight="1"/>
    <row r="42" spans="4:6" ht="15" customHeight="1">
      <c r="D42" s="21"/>
    </row>
    <row r="43" spans="4:6" ht="15" customHeight="1"/>
    <row r="44" spans="4:6" ht="15" customHeight="1"/>
    <row r="45" spans="4:6" ht="15" customHeight="1"/>
    <row r="46" spans="4:6" ht="15" customHeight="1"/>
    <row r="47" spans="4:6" ht="15" customHeight="1"/>
    <row r="48" spans="4:6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</sheetData>
  <mergeCells count="2">
    <mergeCell ref="D6:G6"/>
    <mergeCell ref="D31:G31"/>
  </mergeCells>
  <hyperlinks>
    <hyperlink ref="F13" location="'VARIACIÓN EVOL POR CATEGORIA'!A1" tooltip="Variación interanual" display="Variación interanual"/>
    <hyperlink ref="F12" location="'tablas turistas por categorías '!A1" tooltip="Evolución anual" display="Evolución anual"/>
    <hyperlink ref="F17" location="'grafica evolucion por categoria'!A1" tooltip="Evolución anual por categoría" display="Evolución anual por categoría"/>
    <hyperlink ref="F18" location="'graf. dist cate ultimo año'!A1" tooltip="Distribución por categoría (último año)" display="Distribución por categoría (último año)"/>
    <hyperlink ref="F24" location="'tab,Evolución mensual categoría'!A1" tooltip="Evolución mensual " display="Evolución mensual "/>
    <hyperlink ref="F28" location="'graf. dist cate periodo act'!A1" tooltip="Distribución por categoría (último año)" display="Distribución por categoría 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C2:M70"/>
  <sheetViews>
    <sheetView showGridLines="0" showRowColHeaders="0" topLeftCell="C1" zoomScaleNormal="100" workbookViewId="0">
      <selection activeCell="B25" sqref="B25"/>
    </sheetView>
  </sheetViews>
  <sheetFormatPr baseColWidth="10" defaultRowHeight="15" outlineLevelRow="1"/>
  <cols>
    <col min="1" max="1" width="14.28515625" customWidth="1"/>
    <col min="9" max="9" width="14" customWidth="1"/>
    <col min="12" max="12" width="12.85546875" customWidth="1"/>
  </cols>
  <sheetData>
    <row r="2" spans="3:13" ht="42.75" customHeight="1"/>
    <row r="3" spans="3:13" ht="30" customHeight="1" thickBot="1">
      <c r="C3" s="160" t="s">
        <v>113</v>
      </c>
      <c r="D3" s="160"/>
      <c r="E3" s="160"/>
      <c r="F3" s="160"/>
      <c r="G3" s="160"/>
      <c r="H3" s="160"/>
      <c r="I3" s="160"/>
      <c r="J3" s="160"/>
    </row>
    <row r="4" spans="3:13" ht="45" customHeight="1" thickBot="1">
      <c r="C4" s="161"/>
      <c r="D4" s="128" t="s">
        <v>114</v>
      </c>
      <c r="E4" s="128" t="s">
        <v>115</v>
      </c>
      <c r="F4" s="128" t="s">
        <v>116</v>
      </c>
      <c r="G4" s="128" t="s">
        <v>117</v>
      </c>
      <c r="H4" s="162" t="s">
        <v>34</v>
      </c>
      <c r="I4" s="162" t="s">
        <v>118</v>
      </c>
      <c r="J4" s="163" t="s">
        <v>36</v>
      </c>
      <c r="L4" s="60" t="s">
        <v>119</v>
      </c>
      <c r="M4" s="60" t="s">
        <v>120</v>
      </c>
    </row>
    <row r="5" spans="3:13" hidden="1">
      <c r="C5" s="51" t="s">
        <v>37</v>
      </c>
      <c r="D5" s="129" t="e">
        <f>GETPIVOTDATA("dato",'[1]Turistas por categorías '!$A$4,"categoría","1* y 2 *","mes",12,"año",2010)</f>
        <v>#REF!</v>
      </c>
      <c r="E5" s="129" t="e">
        <f>GETPIVOTDATA("dato",'[1]Turistas por categorías '!$A$4,"categoría","3 *","mes",12,"año",2010)</f>
        <v>#REF!</v>
      </c>
      <c r="F5" s="129" t="e">
        <f>GETPIVOTDATA("dato",'[1]Turistas por categorías '!$A$4,"categoría","4 *","mes",12,"año",2010)</f>
        <v>#REF!</v>
      </c>
      <c r="G5" s="129" t="e">
        <f>GETPIVOTDATA("dato",'[1]Turistas por categorías '!$A$4,"categoría","5 *","mes",12,"año",2010)</f>
        <v>#REF!</v>
      </c>
      <c r="H5" s="129" t="e">
        <f>GETPIVOTDATA("dato",'[1]Turistas por categorías '!$A$4,"categoría","HOTELEROS","mes",12,"año",2010)</f>
        <v>#REF!</v>
      </c>
      <c r="I5" s="129" t="e">
        <f>GETPIVOTDATA("dato",'[1]Turistas por categorías '!$A$4,"categoría","EXTRAHOTELEROS","mes",12,"año",2010)</f>
        <v>#REF!</v>
      </c>
      <c r="J5" s="129" t="e">
        <f>GETPIVOTDATA("dato",'[1]Turistas por categorías '!$A$4,"categoría","TOTAL","mes",12,"año",2010)</f>
        <v>#REF!</v>
      </c>
    </row>
    <row r="6" spans="3:13" hidden="1">
      <c r="C6" s="51" t="s">
        <v>38</v>
      </c>
      <c r="D6" s="129" t="e">
        <f>GETPIVOTDATA("dato",'[1]Turistas por categorías '!$A$4,"categoría","1* Y 2 *","mes",11,"año",2010)</f>
        <v>#REF!</v>
      </c>
      <c r="E6" s="129" t="e">
        <f>GETPIVOTDATA("dato",'[1]Turistas por categorías '!$A$4,"categoría","3 *","mes",11,"año",2010)</f>
        <v>#REF!</v>
      </c>
      <c r="F6" s="129" t="e">
        <f>GETPIVOTDATA("dato",'[1]Turistas por categorías '!$A$4,"categoría","4 *","mes",11,"año",2010)</f>
        <v>#REF!</v>
      </c>
      <c r="G6" s="129" t="e">
        <f>GETPIVOTDATA("dato",'[1]Turistas por categorías '!$A$4,"categoría","5 *","mes",11,"año",2010)</f>
        <v>#REF!</v>
      </c>
      <c r="H6" s="129" t="e">
        <f>GETPIVOTDATA("dato",'[1]Turistas por categorías '!$A$4,"categoría","HOTELEROS","mes",11,"año",2010)</f>
        <v>#REF!</v>
      </c>
      <c r="I6" s="129" t="e">
        <f>GETPIVOTDATA("dato",'[1]Turistas por categorías '!$A$4,"categoría","EXTRAHOTELEROS","mes",11,"año",2010)</f>
        <v>#REF!</v>
      </c>
      <c r="J6" s="129" t="e">
        <f>GETPIVOTDATA("dato",'[1]Turistas por categorías '!$A$4,"categoría","TOTAL","mes",11,"año",2010)</f>
        <v>#REF!</v>
      </c>
    </row>
    <row r="7" spans="3:13" hidden="1">
      <c r="C7" s="51" t="s">
        <v>39</v>
      </c>
      <c r="D7" s="129" t="e">
        <f>GETPIVOTDATA("dato",'[1]Turistas por categorías '!$A$4,"categoría","1* Y 2 *","mes",10,"año",2010)</f>
        <v>#REF!</v>
      </c>
      <c r="E7" s="129" t="e">
        <f>GETPIVOTDATA("dato",'[1]Turistas por categorías '!$A$4,"categoría","3 *","mes",10,"año",2010)</f>
        <v>#REF!</v>
      </c>
      <c r="F7" s="129" t="e">
        <f>GETPIVOTDATA("dato",'[1]Turistas por categorías '!$A$4,"categoría","4 *","mes",10,"año",2010)</f>
        <v>#REF!</v>
      </c>
      <c r="G7" s="129" t="e">
        <f>GETPIVOTDATA("dato",'[1]Turistas por categorías '!$A$4,"categoría","5 *","mes",10,"año",2010)</f>
        <v>#REF!</v>
      </c>
      <c r="H7" s="129" t="e">
        <f>GETPIVOTDATA("dato",'[1]Turistas por categorías '!$A$4,"categoría","HOTELEROS","mes",10,"año",2010)</f>
        <v>#REF!</v>
      </c>
      <c r="I7" s="129" t="e">
        <f>GETPIVOTDATA("dato",'[1]Turistas por categorías '!$A$4,"categoría","EXTRAHOTELEROS","mes",10,"año",2010)</f>
        <v>#REF!</v>
      </c>
      <c r="J7" s="129" t="e">
        <f>GETPIVOTDATA("dato",'[1]Turistas por categorías '!$A$4,"categoría","TOTAL","mes",10,"año",2010)</f>
        <v>#REF!</v>
      </c>
    </row>
    <row r="8" spans="3:13" hidden="1">
      <c r="C8" s="51" t="s">
        <v>40</v>
      </c>
      <c r="D8" s="129" t="e">
        <f>GETPIVOTDATA("dato",'[1]Turistas por categorías '!$A$4,"categoría","1* Y 2 *","mes",9,"año",2010)</f>
        <v>#REF!</v>
      </c>
      <c r="E8" s="129" t="e">
        <f>GETPIVOTDATA("dato",'[1]Turistas por categorías '!$A$4,"categoría","3 *","mes",9,"año",2010)</f>
        <v>#REF!</v>
      </c>
      <c r="F8" s="129" t="e">
        <f>GETPIVOTDATA("dato",'[1]Turistas por categorías '!$A$4,"categoría","4 *","mes",9,"año",2010)</f>
        <v>#REF!</v>
      </c>
      <c r="G8" s="129" t="e">
        <f>GETPIVOTDATA("dato",'[1]Turistas por categorías '!$A$4,"categoría","5 *","mes",9,"año",2010)</f>
        <v>#REF!</v>
      </c>
      <c r="H8" s="129" t="e">
        <f>GETPIVOTDATA("dato",'[1]Turistas por categorías '!$A$4,"categoría","HOTELEROS","mes",9,"año",2010)</f>
        <v>#REF!</v>
      </c>
      <c r="I8" s="129" t="e">
        <f>GETPIVOTDATA("dato",'[1]Turistas por categorías '!$A$4,"categoría","EXTRAHOTELEROS","mes",9,"año",2010)</f>
        <v>#REF!</v>
      </c>
      <c r="J8" s="129" t="e">
        <f>GETPIVOTDATA("dato",'[1]Turistas por categorías '!$A$4,"categoría","TOTAL","mes",9,"año",2010)</f>
        <v>#REF!</v>
      </c>
    </row>
    <row r="9" spans="3:13" hidden="1">
      <c r="C9" s="51" t="s">
        <v>41</v>
      </c>
      <c r="D9" s="129" t="e">
        <f>GETPIVOTDATA("dato",'[1]Turistas por categorías '!$A$4,"categoría","1* Y 2 *","mes",8,"año",2010)</f>
        <v>#REF!</v>
      </c>
      <c r="E9" s="129" t="e">
        <f>GETPIVOTDATA("dato",'[1]Turistas por categorías '!$A$4,"categoría","3 *","mes",8,"año",2010)</f>
        <v>#REF!</v>
      </c>
      <c r="F9" s="129" t="e">
        <f>GETPIVOTDATA("dato",'[1]Turistas por categorías '!$A$4,"categoría","4 *","mes",8,"año",2010)</f>
        <v>#REF!</v>
      </c>
      <c r="G9" s="129" t="e">
        <f>GETPIVOTDATA("dato",'[1]Turistas por categorías '!$A$4,"categoría","5 *","mes",8,"año",2010)</f>
        <v>#REF!</v>
      </c>
      <c r="H9" s="129" t="e">
        <f>GETPIVOTDATA("dato",'[1]Turistas por categorías '!$A$4,"categoría","HOTELEROS","mes",8,"año",2010)</f>
        <v>#REF!</v>
      </c>
      <c r="I9" s="129" t="e">
        <f>GETPIVOTDATA("dato",'[1]Turistas por categorías '!$A$4,"categoría","EXTRAHOTELEROS","mes",8,"año",2010)</f>
        <v>#REF!</v>
      </c>
      <c r="J9" s="129" t="e">
        <f>GETPIVOTDATA("dato",'[1]Turistas por categorías '!$A$4,"categoría","TOTAL","mes",8,"año",2010)</f>
        <v>#REF!</v>
      </c>
    </row>
    <row r="10" spans="3:13">
      <c r="C10" s="51" t="s">
        <v>42</v>
      </c>
      <c r="D10" s="129">
        <f>GETPIVOTDATA("dato",'[1]Turistas por categorías '!$A$4,"categoría","1* Y 2 *","mes",7,"año",2010)</f>
        <v>1761</v>
      </c>
      <c r="E10" s="129">
        <f>GETPIVOTDATA("dato",'[1]Turistas por categorías '!$A$4,"categoría","3 *","mes",7,"año",2010)</f>
        <v>14316</v>
      </c>
      <c r="F10" s="129">
        <f>GETPIVOTDATA("dato",'[1]Turistas por categorías '!$A$4,"categoría","4 *","mes",7,"año",2010)</f>
        <v>73504</v>
      </c>
      <c r="G10" s="129">
        <f>GETPIVOTDATA("dato",'[1]Turistas por categorías '!$A$4,"categoría","5 *","mes",7,"año",2010)</f>
        <v>15004</v>
      </c>
      <c r="H10" s="129">
        <f>GETPIVOTDATA("dato",'[1]Turistas por categorías '!$A$4,"categoría","HOTELEROS","mes",7,"año",2010)</f>
        <v>104585</v>
      </c>
      <c r="I10" s="129">
        <f>GETPIVOTDATA("dato",'[1]Turistas por categorías '!$A$4,"categoría","EXTRAHOTELEROS","mes",7,"año",2010)</f>
        <v>58786</v>
      </c>
      <c r="J10" s="129">
        <f>GETPIVOTDATA("dato",'[1]Turistas por categorías '!$A$4,"categoría","TOTAL","mes",7,"año",2010)</f>
        <v>163371</v>
      </c>
    </row>
    <row r="11" spans="3:13">
      <c r="C11" s="51" t="s">
        <v>43</v>
      </c>
      <c r="D11" s="129">
        <f>GETPIVOTDATA("dato",'[1]Turistas por categorías '!$A$4,"categoría","1* Y 2 *","mes",6,"año",2010)</f>
        <v>1381</v>
      </c>
      <c r="E11" s="129">
        <f>GETPIVOTDATA("dato",'[1]Turistas por categorías '!$A$4,"categoría","3 *","mes",6,"año",2010)</f>
        <v>12478</v>
      </c>
      <c r="F11" s="129">
        <f>GETPIVOTDATA("dato",'[1]Turistas por categorías '!$A$4,"categoría","4 *","mes",6,"año",2010)</f>
        <v>61142</v>
      </c>
      <c r="G11" s="129">
        <f>GETPIVOTDATA("dato",'[1]Turistas por categorías '!$A$4,"categoría","5 *","mes",6,"año",2010)</f>
        <v>11209</v>
      </c>
      <c r="H11" s="129">
        <f>GETPIVOTDATA("dato",'[1]Turistas por categorías '!$A$4,"categoría","HOTELEROS","mes",6,"año",2010)</f>
        <v>86210</v>
      </c>
      <c r="I11" s="129">
        <f>GETPIVOTDATA("dato",'[1]Turistas por categorías '!$A$4,"categoría","EXTRAHOTELEROS","mes",6,"año",2010)</f>
        <v>42687</v>
      </c>
      <c r="J11" s="129">
        <f>GETPIVOTDATA("dato",'[1]Turistas por categorías '!$A$4,"categoría","TOTAL","mes",6,"año",2010)</f>
        <v>128897</v>
      </c>
    </row>
    <row r="12" spans="3:13">
      <c r="C12" s="51" t="s">
        <v>44</v>
      </c>
      <c r="D12" s="129">
        <f>GETPIVOTDATA("dato",'[1]Turistas por categorías '!$A$4,"categoría","1* Y 2 *","mes",5,"año",2010)</f>
        <v>1283</v>
      </c>
      <c r="E12" s="129">
        <f>GETPIVOTDATA("dato",'[1]Turistas por categorías '!$A$4,"categoría","3 *","mes",5,"año",2010)</f>
        <v>14729</v>
      </c>
      <c r="F12" s="129">
        <f>GETPIVOTDATA("dato",'[1]Turistas por categorías '!$A$4,"categoría","4 *","mes",5,"año",2010)</f>
        <v>62485</v>
      </c>
      <c r="G12" s="129">
        <f>GETPIVOTDATA("dato",'[1]Turistas por categorías '!$A$4,"categoría","5 *","mes",5,"año",2010)</f>
        <v>14143</v>
      </c>
      <c r="H12" s="129">
        <f>GETPIVOTDATA("dato",'[1]Turistas por categorías '!$A$4,"categoría","HOTELEROS","mes",5,"año",2010)</f>
        <v>92640</v>
      </c>
      <c r="I12" s="129">
        <f>GETPIVOTDATA("dato",'[1]Turistas por categorías '!$A$4,"categoría","EXTRAHOTELEROS","mes",5,"año",2010)</f>
        <v>39879</v>
      </c>
      <c r="J12" s="129">
        <f>GETPIVOTDATA("dato",'[1]Turistas por categorías '!$A$4,"categoría","TOTAL","mes",5,"año",2010)</f>
        <v>132519</v>
      </c>
    </row>
    <row r="13" spans="3:13">
      <c r="C13" s="51" t="s">
        <v>45</v>
      </c>
      <c r="D13" s="129">
        <f>GETPIVOTDATA("dato",'[1]Turistas por categorías '!$A$4,"categoría","1* Y 2 *","mes",4,"año",2010)</f>
        <v>1424</v>
      </c>
      <c r="E13" s="129">
        <f>GETPIVOTDATA("dato",'[1]Turistas por categorías '!$A$4,"categoría","3 *","mes",4,"año",2010)</f>
        <v>15570</v>
      </c>
      <c r="F13" s="129">
        <f>GETPIVOTDATA("dato",'[1]Turistas por categorías '!$A$4,"categoría","4 *","mes",4,"año",2010)</f>
        <v>71499</v>
      </c>
      <c r="G13" s="129">
        <f>GETPIVOTDATA("dato",'[1]Turistas por categorías '!$A$4,"categoría","5 *","mes",4,"año",2010)</f>
        <v>14384</v>
      </c>
      <c r="H13" s="129">
        <f>GETPIVOTDATA("dato",'[1]Turistas por categorías '!$A$4,"categoría","HOTELEROS","mes",4,"año",2010)</f>
        <v>102877</v>
      </c>
      <c r="I13" s="129">
        <f>GETPIVOTDATA("dato",'[1]Turistas por categorías '!$A$4,"categoría","EXTRAHOTELEROS","mes",4,"año",2010)</f>
        <v>53734</v>
      </c>
      <c r="J13" s="129">
        <f>GETPIVOTDATA("dato",'[1]Turistas por categorías '!$A$4,"categoría","TOTAL","mes",4,"año",2010)</f>
        <v>156611</v>
      </c>
    </row>
    <row r="14" spans="3:13">
      <c r="C14" s="51" t="s">
        <v>46</v>
      </c>
      <c r="D14" s="129">
        <f>GETPIVOTDATA("dato",'[1]Turistas por categorías '!$A$4,"categoría","1* Y 2 *","mes",3,"año",2010)</f>
        <v>1288</v>
      </c>
      <c r="E14" s="129">
        <f>GETPIVOTDATA("dato",'[1]Turistas por categorías '!$A$4,"categoría","3 *","mes",3,"año",2010)</f>
        <v>14801</v>
      </c>
      <c r="F14" s="129">
        <f>GETPIVOTDATA("dato",'[1]Turistas por categorías '!$A$4,"categoría","4 *","mes",3,"año",2010)</f>
        <v>60015</v>
      </c>
      <c r="G14" s="129">
        <f>GETPIVOTDATA("dato",'[1]Turistas por categorías '!$A$4,"categoría","5 *","mes",3,"año",2010)</f>
        <v>14476</v>
      </c>
      <c r="H14" s="129">
        <f>GETPIVOTDATA("dato",'[1]Turistas por categorías '!$A$4,"categoría","HOTELEROS","mes",3,"año",2010)</f>
        <v>90580</v>
      </c>
      <c r="I14" s="129">
        <f>GETPIVOTDATA("dato",'[1]Turistas por categorías '!$A$4,"categoría","EXTRAHOTELEROS","mes",3,"año",2010)</f>
        <v>49749</v>
      </c>
      <c r="J14" s="129">
        <f>GETPIVOTDATA("dato",'[1]Turistas por categorías '!$A$4,"categoría","TOTAL","mes",3,"año",2010)</f>
        <v>140329</v>
      </c>
    </row>
    <row r="15" spans="3:13">
      <c r="C15" s="51" t="s">
        <v>47</v>
      </c>
      <c r="D15" s="129">
        <f>GETPIVOTDATA("dato",'[1]Turistas por categorías '!$A$4,"categoría","1* Y 2 *","mes",2,"año",2010)</f>
        <v>1245</v>
      </c>
      <c r="E15" s="129">
        <f>GETPIVOTDATA("dato",'[1]Turistas por categorías '!$A$4,"categoría","3 *","mes",2,"año",2010)</f>
        <v>13521</v>
      </c>
      <c r="F15" s="129">
        <f>GETPIVOTDATA("dato",'[1]Turistas por categorías '!$A$4,"categoría","4 *","mes",2,"año",2010)</f>
        <v>55002</v>
      </c>
      <c r="G15" s="129">
        <f>GETPIVOTDATA("dato",'[1]Turistas por categorías '!$A$4,"categoría","5 *","mes",2,"año",2010)</f>
        <v>12248</v>
      </c>
      <c r="H15" s="129">
        <f>GETPIVOTDATA("dato",'[1]Turistas por categorías '!$A$4,"categoría","HOTELEROS","mes",2,"año",2010)</f>
        <v>82016</v>
      </c>
      <c r="I15" s="129">
        <f>GETPIVOTDATA("dato",'[1]Turistas por categorías '!$A$4,"categoría","EXTRAHOTELEROS","mes",2,"año",2010)</f>
        <v>43403</v>
      </c>
      <c r="J15" s="129">
        <f>GETPIVOTDATA("dato",'[1]Turistas por categorías '!$A$4,"categoría","TOTAL","mes",2,"año",2010)</f>
        <v>125419</v>
      </c>
    </row>
    <row r="16" spans="3:13">
      <c r="C16" s="51" t="s">
        <v>48</v>
      </c>
      <c r="D16" s="129">
        <f>GETPIVOTDATA("dato",'[1]Turistas por categorías '!$A$4,"categoría","1* Y 2 *","mes",1,"año",2010)</f>
        <v>1566</v>
      </c>
      <c r="E16" s="129">
        <f>GETPIVOTDATA("dato",'[1]Turistas por categorías '!$A$4,"categoría","3 *","mes",1,"año",2010)</f>
        <v>14414</v>
      </c>
      <c r="F16" s="129">
        <f>GETPIVOTDATA("dato",'[1]Turistas por categorías '!$A$4,"categoría","4 *","mes",1,"año",2010)</f>
        <v>57883</v>
      </c>
      <c r="G16" s="129">
        <f>GETPIVOTDATA("dato",'[1]Turistas por categorías '!$A$4,"categoría","5 *","mes",1,"año",2010)</f>
        <v>11352</v>
      </c>
      <c r="H16" s="129">
        <f>GETPIVOTDATA("dato",'[1]Turistas por categorías '!$A$4,"categoría","HOTELEROS","mes",1,"año",2010)</f>
        <v>85215</v>
      </c>
      <c r="I16" s="129">
        <f>GETPIVOTDATA("dato",'[1]Turistas por categorías '!$A$4,"categoría","EXTRAHOTELEROS","mes",1,"año",2010)</f>
        <v>46322</v>
      </c>
      <c r="J16" s="129">
        <f>GETPIVOTDATA("dato",'[1]Turistas por categorías '!$A$4,"categoría","TOTAL","mes",1,"año",2010)</f>
        <v>131537</v>
      </c>
    </row>
    <row r="17" spans="3:10" ht="30.75" customHeight="1">
      <c r="C17" s="130" t="str">
        <f>actualizaciones!A2</f>
        <v xml:space="preserve">acumulado julio 2010 </v>
      </c>
      <c r="D17" s="131">
        <f>GETPIVOTDATA("dato",'[1]Turistas por categorías '!$A$4,"categoría","1* Y 2 *","año",2010)</f>
        <v>9948</v>
      </c>
      <c r="E17" s="131">
        <f>GETPIVOTDATA("dato",'[1]Turistas por categorías '!$A$4,"categoría","3 *","año",2010)</f>
        <v>99829</v>
      </c>
      <c r="F17" s="131">
        <f>GETPIVOTDATA("dato",'[1]Turistas por categorías '!$A$4,"categoría","4 *","año",2010)</f>
        <v>441530</v>
      </c>
      <c r="G17" s="131">
        <f>GETPIVOTDATA("dato",'[1]Turistas por categorías '!$A$4,"categoría","5 *","año",2010)</f>
        <v>92816</v>
      </c>
      <c r="H17" s="131">
        <f>GETPIVOTDATA("dato",'[1]Turistas por categorías '!$A$4,"categoría","hoteleros","año",2010)</f>
        <v>644123</v>
      </c>
      <c r="I17" s="131">
        <f>GETPIVOTDATA("dato",'[1]Turistas por categorías '!$A$4,"categoría","extrahoteleros","año",2010)</f>
        <v>334560</v>
      </c>
      <c r="J17" s="131">
        <f>GETPIVOTDATA("dato",'[1]Turistas por categorías '!$A$4,"categoría","total","año",2010)</f>
        <v>978683</v>
      </c>
    </row>
    <row r="18" spans="3:10" hidden="1" outlineLevel="1">
      <c r="C18" s="51" t="s">
        <v>37</v>
      </c>
      <c r="D18" s="129">
        <f>GETPIVOTDATA("dato",'[1]Turistas por categorías '!$A$4,"categoría","1* y 2 *","mes",12,"año",2009)</f>
        <v>1377</v>
      </c>
      <c r="E18" s="129">
        <f>GETPIVOTDATA("dato",'[1]Turistas por categorías '!$A$4,"categoría","3 *","mes",12,"año",2009)</f>
        <v>13734</v>
      </c>
      <c r="F18" s="129">
        <f>GETPIVOTDATA("dato",'[1]Turistas por categorías '!$A$4,"categoría","4 *","mes",12,"año",2009)</f>
        <v>58249</v>
      </c>
      <c r="G18" s="129">
        <f>GETPIVOTDATA("dato",'[1]Turistas por categorías '!$A$4,"categoría","5 *","mes",12,"año",2009)</f>
        <v>11710</v>
      </c>
      <c r="H18" s="129">
        <f>GETPIVOTDATA("dato",'[1]Turistas por categorías '!$A$4,"categoría","HOTELEROS","mes",12,"año",2009)</f>
        <v>85070</v>
      </c>
      <c r="I18" s="129">
        <f>GETPIVOTDATA("dato",'[1]Turistas por categorías '!$A$4,"categoría","EXTRAHOTELEROS","mes",12,"año",2009)</f>
        <v>47003</v>
      </c>
      <c r="J18" s="129">
        <f>GETPIVOTDATA("dato",'[1]Turistas por categorías '!$A$4,"categoría","TOTAL","mes",12,"año",2009)</f>
        <v>132073</v>
      </c>
    </row>
    <row r="19" spans="3:10" hidden="1" outlineLevel="1">
      <c r="C19" s="51" t="s">
        <v>38</v>
      </c>
      <c r="D19" s="129">
        <f>GETPIVOTDATA("dato",'[1]Turistas por categorías '!$A$4,"categoría","1* Y 2 *","mes",11,"año",2009)</f>
        <v>1217</v>
      </c>
      <c r="E19" s="129">
        <f>GETPIVOTDATA("dato",'[1]Turistas por categorías '!$A$4,"categoría","3 *","mes",11,"año",2009)</f>
        <v>14992</v>
      </c>
      <c r="F19" s="129">
        <f>GETPIVOTDATA("dato",'[1]Turistas por categorías '!$A$4,"categoría","4 *","mes",11,"año",2009)</f>
        <v>57335</v>
      </c>
      <c r="G19" s="129">
        <f>GETPIVOTDATA("dato",'[1]Turistas por categorías '!$A$4,"categoría","5 *","mes",11,"año",2009)</f>
        <v>11957</v>
      </c>
      <c r="H19" s="129">
        <f>GETPIVOTDATA("dato",'[1]Turistas por categorías '!$A$4,"categoría","HOTELEROS","mes",11,"año",2009)</f>
        <v>85501</v>
      </c>
      <c r="I19" s="129">
        <f>GETPIVOTDATA("dato",'[1]Turistas por categorías '!$A$4,"categoría","EXTRAHOTELEROS","mes",11,"año",2009)</f>
        <v>45406</v>
      </c>
      <c r="J19" s="129">
        <f>GETPIVOTDATA("dato",'[1]Turistas por categorías '!$A$4,"categoría","TOTAL","mes",11,"año",2009)</f>
        <v>130907</v>
      </c>
    </row>
    <row r="20" spans="3:10" hidden="1" outlineLevel="1">
      <c r="C20" s="51" t="s">
        <v>39</v>
      </c>
      <c r="D20" s="129">
        <f>GETPIVOTDATA("dato",'[1]Turistas por categorías '!$A$4,"categoría","1* Y 2 *","mes",10,"año",2009)</f>
        <v>1253</v>
      </c>
      <c r="E20" s="129">
        <f>GETPIVOTDATA("dato",'[1]Turistas por categorías '!$A$4,"categoría","3 *","mes",10,"año",2009)</f>
        <v>12508</v>
      </c>
      <c r="F20" s="129">
        <f>GETPIVOTDATA("dato",'[1]Turistas por categorías '!$A$4,"categoría","4 *","mes",10,"año",2009)</f>
        <v>66680</v>
      </c>
      <c r="G20" s="129">
        <f>GETPIVOTDATA("dato",'[1]Turistas por categorías '!$A$4,"categoría","5 *","mes",10,"año",2009)</f>
        <v>13573</v>
      </c>
      <c r="H20" s="129">
        <f>GETPIVOTDATA("dato",'[1]Turistas por categorías '!$A$4,"categoría","HOTELEROS","mes",10,"año",2009)</f>
        <v>94014</v>
      </c>
      <c r="I20" s="129">
        <f>GETPIVOTDATA("dato",'[1]Turistas por categorías '!$A$4,"categoría","EXTRAHOTELEROS","mes",10,"año",2009)</f>
        <v>51344</v>
      </c>
      <c r="J20" s="129">
        <f>GETPIVOTDATA("dato",'[1]Turistas por categorías '!$A$4,"categoría","TOTAL","mes",10,"año",2009)</f>
        <v>145358</v>
      </c>
    </row>
    <row r="21" spans="3:10" hidden="1" outlineLevel="1">
      <c r="C21" s="51" t="s">
        <v>40</v>
      </c>
      <c r="D21" s="129">
        <f>GETPIVOTDATA("dato",'[1]Turistas por categorías '!$A$4,"categoría","1* Y 2 *","mes",9,"año",2009)</f>
        <v>1294</v>
      </c>
      <c r="E21" s="129">
        <f>GETPIVOTDATA("dato",'[1]Turistas por categorías '!$A$4,"categoría","3 *","mes",9,"año",2009)</f>
        <v>9960</v>
      </c>
      <c r="F21" s="129">
        <f>GETPIVOTDATA("dato",'[1]Turistas por categorías '!$A$4,"categoría","4 *","mes",9,"año",2009)</f>
        <v>56900</v>
      </c>
      <c r="G21" s="129">
        <f>GETPIVOTDATA("dato",'[1]Turistas por categorías '!$A$4,"categoría","5 *","mes",9,"año",2009)</f>
        <v>11308</v>
      </c>
      <c r="H21" s="129">
        <f>GETPIVOTDATA("dato",'[1]Turistas por categorías '!$A$4,"categoría","HOTELEROS","mes",9,"año",2009)</f>
        <v>79462</v>
      </c>
      <c r="I21" s="129">
        <f>GETPIVOTDATA("dato",'[1]Turistas por categorías '!$A$4,"categoría","EXTRAHOTELEROS","mes",9,"año",2009)</f>
        <v>45133</v>
      </c>
      <c r="J21" s="129">
        <f>GETPIVOTDATA("dato",'[1]Turistas por categorías '!$A$4,"categoría","TOTAL","mes",9,"año",2009)</f>
        <v>124595</v>
      </c>
    </row>
    <row r="22" spans="3:10" hidden="1" outlineLevel="1">
      <c r="C22" s="51" t="s">
        <v>41</v>
      </c>
      <c r="D22" s="129">
        <f>GETPIVOTDATA("dato",'[1]Turistas por categorías '!$A$4,"categoría","1* Y 2 *","mes",8,"año",2009)</f>
        <v>1392</v>
      </c>
      <c r="E22" s="129">
        <f>GETPIVOTDATA("dato",'[1]Turistas por categorías '!$A$4,"categoría","3 *","mes",8,"año",2009)</f>
        <v>15243</v>
      </c>
      <c r="F22" s="129">
        <f>GETPIVOTDATA("dato",'[1]Turistas por categorías '!$A$4,"categoría","4 *","mes",8,"año",2009)</f>
        <v>72347</v>
      </c>
      <c r="G22" s="129">
        <f>GETPIVOTDATA("dato",'[1]Turistas por categorías '!$A$4,"categoría","5 *","mes",8,"año",2009)</f>
        <v>14013</v>
      </c>
      <c r="H22" s="129">
        <f>GETPIVOTDATA("dato",'[1]Turistas por categorías '!$A$4,"categoría","HOTELEROS","mes",8,"año",2009)</f>
        <v>102995</v>
      </c>
      <c r="I22" s="129">
        <f>GETPIVOTDATA("dato",'[1]Turistas por categorías '!$A$4,"categoría","EXTRAHOTELEROS","mes",8,"año",2009)</f>
        <v>67265</v>
      </c>
      <c r="J22" s="129">
        <f>GETPIVOTDATA("dato",'[1]Turistas por categorías '!$A$4,"categoría","TOTAL","mes",8,"año",2009)</f>
        <v>170260</v>
      </c>
    </row>
    <row r="23" spans="3:10" hidden="1" outlineLevel="1">
      <c r="C23" s="51" t="s">
        <v>42</v>
      </c>
      <c r="D23" s="129">
        <f>GETPIVOTDATA("dato",'[1]Turistas por categorías '!$A$4,"categoría","1* Y 2 *","mes",7,"año",2009)</f>
        <v>1613</v>
      </c>
      <c r="E23" s="129">
        <f>GETPIVOTDATA("dato",'[1]Turistas por categorías '!$A$4,"categoría","3 *","mes",7,"año",2009)</f>
        <v>15464</v>
      </c>
      <c r="F23" s="129">
        <f>GETPIVOTDATA("dato",'[1]Turistas por categorías '!$A$4,"categoría","4 *","mes",7,"año",2009)</f>
        <v>68220</v>
      </c>
      <c r="G23" s="129">
        <f>GETPIVOTDATA("dato",'[1]Turistas por categorías '!$A$4,"categoría","5 *","mes",7,"año",2009)</f>
        <v>12626</v>
      </c>
      <c r="H23" s="129">
        <f>GETPIVOTDATA("dato",'[1]Turistas por categorías '!$A$4,"categoría","HOTELEROS","mes",7,"año",2009)</f>
        <v>97923</v>
      </c>
      <c r="I23" s="129">
        <f>GETPIVOTDATA("dato",'[1]Turistas por categorías '!$A$4,"categoría","EXTRAHOTELEROS","mes",7,"año",2009)</f>
        <v>54409</v>
      </c>
      <c r="J23" s="129">
        <f>GETPIVOTDATA("dato",'[1]Turistas por categorías '!$A$4,"categoría","TOTAL","mes",7,"año",2009)</f>
        <v>152332</v>
      </c>
    </row>
    <row r="24" spans="3:10" hidden="1" outlineLevel="1">
      <c r="C24" s="51" t="s">
        <v>43</v>
      </c>
      <c r="D24" s="129">
        <f>GETPIVOTDATA("dato",'[1]Turistas por categorías '!$A$4,"categoría","1* Y 2 *","mes",6,"año",2009)</f>
        <v>1126</v>
      </c>
      <c r="E24" s="129">
        <f>GETPIVOTDATA("dato",'[1]Turistas por categorías '!$A$4,"categoría","3 *","mes",6,"año",2009)</f>
        <v>13787</v>
      </c>
      <c r="F24" s="129">
        <f>GETPIVOTDATA("dato",'[1]Turistas por categorías '!$A$4,"categoría","4 *","mes",6,"año",2009)</f>
        <v>54297</v>
      </c>
      <c r="G24" s="129">
        <f>GETPIVOTDATA("dato",'[1]Turistas por categorías '!$A$4,"categoría","5 *","mes",6,"año",2009)</f>
        <v>10632</v>
      </c>
      <c r="H24" s="129">
        <f>GETPIVOTDATA("dato",'[1]Turistas por categorías '!$A$4,"categoría","HOTELEROS","mes",6,"año",2009)</f>
        <v>79842</v>
      </c>
      <c r="I24" s="129">
        <f>GETPIVOTDATA("dato",'[1]Turistas por categorías '!$A$4,"categoría","EXTRAHOTELEROS","mes",6,"año",2009)</f>
        <v>41545</v>
      </c>
      <c r="J24" s="129">
        <f>GETPIVOTDATA("dato",'[1]Turistas por categorías '!$A$4,"categoría","TOTAL","mes",6,"año",2009)</f>
        <v>121387</v>
      </c>
    </row>
    <row r="25" spans="3:10" hidden="1" outlineLevel="1">
      <c r="C25" s="51" t="s">
        <v>44</v>
      </c>
      <c r="D25" s="129">
        <f>GETPIVOTDATA("dato",'[1]Turistas por categorías '!$A$4,"categoría","1* Y 2 *","mes",5,"año",2009)</f>
        <v>1288</v>
      </c>
      <c r="E25" s="129">
        <f>GETPIVOTDATA("dato",'[1]Turistas por categorías '!$A$4,"categoría","3 *","mes",5,"año",2009)</f>
        <v>13457</v>
      </c>
      <c r="F25" s="129">
        <f>GETPIVOTDATA("dato",'[1]Turistas por categorías '!$A$4,"categoría","4 *","mes",5,"año",2009)</f>
        <v>57767</v>
      </c>
      <c r="G25" s="129">
        <f>GETPIVOTDATA("dato",'[1]Turistas por categorías '!$A$4,"categoría","5 *","mes",5,"año",2009)</f>
        <v>11823</v>
      </c>
      <c r="H25" s="129">
        <f>GETPIVOTDATA("dato",'[1]Turistas por categorías '!$A$4,"categoría","HOTELEROS","mes",5,"año",2009)</f>
        <v>84335</v>
      </c>
      <c r="I25" s="129">
        <f>GETPIVOTDATA("dato",'[1]Turistas por categorías '!$A$4,"categoría","EXTRAHOTELEROS","mes",5,"año",2009)</f>
        <v>39550</v>
      </c>
      <c r="J25" s="129">
        <f>GETPIVOTDATA("dato",'[1]Turistas por categorías '!$A$4,"categoría","TOTAL","mes",5,"año",2009)</f>
        <v>123885</v>
      </c>
    </row>
    <row r="26" spans="3:10" hidden="1" outlineLevel="1">
      <c r="C26" s="51" t="s">
        <v>45</v>
      </c>
      <c r="D26" s="129">
        <f>GETPIVOTDATA("dato",'[1]Turistas por categorías '!$A$4,"categoría","1* Y 2 *","mes",4,"año",2009)</f>
        <v>1358</v>
      </c>
      <c r="E26" s="129">
        <f>GETPIVOTDATA("dato",'[1]Turistas por categorías '!$A$4,"categoría","3 *","mes",4,"año",2009)</f>
        <v>16283</v>
      </c>
      <c r="F26" s="129">
        <f>GETPIVOTDATA("dato",'[1]Turistas por categorías '!$A$4,"categoría","4 *","mes",4,"año",2009)</f>
        <v>60403</v>
      </c>
      <c r="G26" s="129">
        <f>GETPIVOTDATA("dato",'[1]Turistas por categorías '!$A$4,"categoría","5 *","mes",4,"año",2009)</f>
        <v>13100</v>
      </c>
      <c r="H26" s="129">
        <f>GETPIVOTDATA("dato",'[1]Turistas por categorías '!$A$4,"categoría","HOTELEROS","mes",4,"año",2009)</f>
        <v>91144</v>
      </c>
      <c r="I26" s="129">
        <f>GETPIVOTDATA("dato",'[1]Turistas por categorías '!$A$4,"categoría","EXTRAHOTELEROS","mes",4,"año",2009)</f>
        <v>51883</v>
      </c>
      <c r="J26" s="129">
        <f>GETPIVOTDATA("dato",'[1]Turistas por categorías '!$A$4,"categoría","TOTAL","mes",4,"año",2009)</f>
        <v>143027</v>
      </c>
    </row>
    <row r="27" spans="3:10" hidden="1" outlineLevel="1">
      <c r="C27" s="51" t="s">
        <v>46</v>
      </c>
      <c r="D27" s="129">
        <f>GETPIVOTDATA("dato",'[1]Turistas por categorías '!$A$4,"categoría","1* Y 2 *","mes",3,"año",2009)</f>
        <v>1760</v>
      </c>
      <c r="E27" s="129">
        <f>GETPIVOTDATA("dato",'[1]Turistas por categorías '!$A$4,"categoría","3 *","mes",3,"año",2009)</f>
        <v>18443</v>
      </c>
      <c r="F27" s="129">
        <f>GETPIVOTDATA("dato",'[1]Turistas por categorías '!$A$4,"categoría","4 *","mes",3,"año",2009)</f>
        <v>53343</v>
      </c>
      <c r="G27" s="129">
        <f>GETPIVOTDATA("dato",'[1]Turistas por categorías '!$A$4,"categoría","5 *","mes",3,"año",2009)</f>
        <v>11585</v>
      </c>
      <c r="H27" s="129">
        <f>GETPIVOTDATA("dato",'[1]Turistas por categorías '!$A$4,"categoría","HOTELEROS","mes",3,"año",2009)</f>
        <v>85131</v>
      </c>
      <c r="I27" s="129">
        <f>GETPIVOTDATA("dato",'[1]Turistas por categorías '!$A$4,"categoría","EXTRAHOTELEROS","mes",3,"año",2009)</f>
        <v>49940</v>
      </c>
      <c r="J27" s="129">
        <f>GETPIVOTDATA("dato",'[1]Turistas por categorías '!$A$4,"categoría","TOTAL","mes",3,"año",2009)</f>
        <v>135071</v>
      </c>
    </row>
    <row r="28" spans="3:10" hidden="1" outlineLevel="1">
      <c r="C28" s="51" t="s">
        <v>47</v>
      </c>
      <c r="D28" s="129">
        <f>GETPIVOTDATA("dato",'[1]Turistas por categorías '!$A$4,"categoría","1* Y 2 *","mes",2,"año",2009)</f>
        <v>1242</v>
      </c>
      <c r="E28" s="129">
        <f>GETPIVOTDATA("dato",'[1]Turistas por categorías '!$A$4,"categoría","3 *","mes",2,"año",2009)</f>
        <v>17011</v>
      </c>
      <c r="F28" s="129">
        <f>GETPIVOTDATA("dato",'[1]Turistas por categorías '!$A$4,"categoría","4 *","mes",2,"año",2009)</f>
        <v>53163</v>
      </c>
      <c r="G28" s="129">
        <f>GETPIVOTDATA("dato",'[1]Turistas por categorías '!$A$4,"categoría","5 *","mes",2,"año",2009)</f>
        <v>12365</v>
      </c>
      <c r="H28" s="129">
        <f>GETPIVOTDATA("dato",'[1]Turistas por categorías '!$A$4,"categoría","HOTELEROS","mes",2,"año",2009)</f>
        <v>83781</v>
      </c>
      <c r="I28" s="129">
        <f>GETPIVOTDATA("dato",'[1]Turistas por categorías '!$A$4,"categoría","EXTRAHOTELEROS","mes",2,"año",2009)</f>
        <v>50011</v>
      </c>
      <c r="J28" s="129">
        <f>GETPIVOTDATA("dato",'[1]Turistas por categorías '!$A$4,"categoría","TOTAL","mes",2,"año",2009)</f>
        <v>133792</v>
      </c>
    </row>
    <row r="29" spans="3:10" hidden="1" outlineLevel="1">
      <c r="C29" s="51" t="s">
        <v>48</v>
      </c>
      <c r="D29" s="129">
        <f>GETPIVOTDATA("dato",'[1]Turistas por categorías '!$A$4,"categoría","1* Y 2 *","mes",1,"año",2009)</f>
        <v>1282</v>
      </c>
      <c r="E29" s="129">
        <f>GETPIVOTDATA("dato",'[1]Turistas por categorías '!$A$4,"categoría","3 *","mes",1,"año",2009)</f>
        <v>17039</v>
      </c>
      <c r="F29" s="129">
        <f>GETPIVOTDATA("dato",'[1]Turistas por categorías '!$A$4,"categoría","4 *","mes",1,"año",2009)</f>
        <v>54287</v>
      </c>
      <c r="G29" s="129">
        <f>GETPIVOTDATA("dato",'[1]Turistas por categorías '!$A$4,"categoría","5 *","mes",1,"año",2009)</f>
        <v>10634</v>
      </c>
      <c r="H29" s="129">
        <f>GETPIVOTDATA("dato",'[1]Turistas por categorías '!$A$4,"categoría","HOTELEROS","mes",1,"año",2009)</f>
        <v>83242</v>
      </c>
      <c r="I29" s="129">
        <f>GETPIVOTDATA("dato",'[1]Turistas por categorías '!$A$4,"categoría","EXTRAHOTELEROS","mes",1,"año",2009)</f>
        <v>53102</v>
      </c>
      <c r="J29" s="129">
        <f>GETPIVOTDATA("dato",'[1]Turistas por categorías '!$A$4,"categoría","TOTAL","mes",1,"año",2009)</f>
        <v>136344</v>
      </c>
    </row>
    <row r="30" spans="3:10" collapsed="1">
      <c r="C30" s="164">
        <v>2009</v>
      </c>
      <c r="D30" s="133">
        <f>GETPIVOTDATA("dato",'[1]Turistas por categorías '!$A$4,"categoría","1* Y 2 *","año",2009)</f>
        <v>16202</v>
      </c>
      <c r="E30" s="133">
        <f>GETPIVOTDATA("dato",'[1]Turistas por categorías '!$A$4,"categoría","3 *","año",2009)</f>
        <v>177921</v>
      </c>
      <c r="F30" s="133">
        <f>GETPIVOTDATA("dato",'[1]Turistas por categorías '!$A$4,"categoría","4 *","año",2009)</f>
        <v>712991</v>
      </c>
      <c r="G30" s="133">
        <f>GETPIVOTDATA("dato",'[1]Turistas por categorías '!$A$4,"categoría","5 *","año",2009)</f>
        <v>145326</v>
      </c>
      <c r="H30" s="133">
        <f>GETPIVOTDATA("dato",'[1]Turistas por categorías '!$A$4,"categoría","hoteleros","año",2009)</f>
        <v>1052440</v>
      </c>
      <c r="I30" s="133">
        <f>GETPIVOTDATA("dato",'[1]Turistas por categorías '!$A$4,"categoría","extrahoteleros","año",2009)</f>
        <v>596591</v>
      </c>
      <c r="J30" s="133">
        <f>GETPIVOTDATA("dato",'[1]Turistas por categorías '!$A$4,"categoría","total","año",2009)</f>
        <v>1649031</v>
      </c>
    </row>
    <row r="31" spans="3:10" hidden="1" outlineLevel="1">
      <c r="C31" s="51" t="s">
        <v>37</v>
      </c>
      <c r="D31" s="129">
        <f>GETPIVOTDATA("dato",'[1]Turistas por categorías '!$A$4,"categoría","1* y 2 *","mes",12,"año",2008)</f>
        <v>1937</v>
      </c>
      <c r="E31" s="129">
        <f>GETPIVOTDATA("dato",'[1]Turistas por categorías '!$A$4,"categoría","3 *","mes",12,"año",2008)</f>
        <v>18529</v>
      </c>
      <c r="F31" s="129">
        <f>GETPIVOTDATA("dato",'[1]Turistas por categorías '!$A$4,"categoría","4 *","mes",12,"año",2008)</f>
        <v>55614</v>
      </c>
      <c r="G31" s="129">
        <f>GETPIVOTDATA("dato",'[1]Turistas por categorías '!$A$4,"categoría","5 *","mes",12,"año",2008)</f>
        <v>11137</v>
      </c>
      <c r="H31" s="129">
        <f>GETPIVOTDATA("dato",'[1]Turistas por categorías '!$A$4,"categoría","HOTELEROS","mes",12,"año",2008)</f>
        <v>87217</v>
      </c>
      <c r="I31" s="129">
        <f>GETPIVOTDATA("dato",'[1]Turistas por categorías '!$A$4,"categoría","EXTRAHOTELEROS","mes",12,"año",2008)</f>
        <v>54615</v>
      </c>
      <c r="J31" s="129">
        <f>GETPIVOTDATA("dato",'[1]Turistas por categorías '!$A$4,"categoría","TOTAL","mes",12,"año",2008)</f>
        <v>141832</v>
      </c>
    </row>
    <row r="32" spans="3:10" hidden="1" outlineLevel="1">
      <c r="C32" s="51" t="s">
        <v>38</v>
      </c>
      <c r="D32" s="129">
        <f>GETPIVOTDATA("dato",'[1]Turistas por categorías '!$A$4,"categoría","1* Y 2 *","mes",11,"año",2008)</f>
        <v>1871</v>
      </c>
      <c r="E32" s="129">
        <f>GETPIVOTDATA("dato",'[1]Turistas por categorías '!$A$4,"categoría","3 *","mes",11,"año",2008)</f>
        <v>19393</v>
      </c>
      <c r="F32" s="129">
        <f>GETPIVOTDATA("dato",'[1]Turistas por categorías '!$A$4,"categoría","4 *","mes",11,"año",2008)</f>
        <v>60204</v>
      </c>
      <c r="G32" s="129">
        <f>GETPIVOTDATA("dato",'[1]Turistas por categorías '!$A$4,"categoría","5 *","mes",11,"año",2008)</f>
        <v>12011</v>
      </c>
      <c r="H32" s="129">
        <f>GETPIVOTDATA("dato",'[1]Turistas por categorías '!$A$4,"categoría","HOTELEROS","mes",11,"año",2008)</f>
        <v>93479</v>
      </c>
      <c r="I32" s="129">
        <f>GETPIVOTDATA("dato",'[1]Turistas por categorías '!$A$4,"categoría","EXTRAHOTELEROS","mes",11,"año",2008)</f>
        <v>55613</v>
      </c>
      <c r="J32" s="129">
        <f>GETPIVOTDATA("dato",'[1]Turistas por categorías '!$A$4,"categoría","TOTAL","mes",11,"año",2008)</f>
        <v>149092</v>
      </c>
    </row>
    <row r="33" spans="3:10" hidden="1" outlineLevel="1">
      <c r="C33" s="51" t="s">
        <v>39</v>
      </c>
      <c r="D33" s="129">
        <f>GETPIVOTDATA("dato",'[1]Turistas por categorías '!$A$4,"categoría","1* Y 2 *","mes",10,"año",2008)</f>
        <v>2090</v>
      </c>
      <c r="E33" s="129">
        <f>GETPIVOTDATA("dato",'[1]Turistas por categorías '!$A$4,"categoría","3 *","mes",10,"año",2008)</f>
        <v>20237</v>
      </c>
      <c r="F33" s="129">
        <f>GETPIVOTDATA("dato",'[1]Turistas por categorías '!$A$4,"categoría","4 *","mes",10,"año",2008)</f>
        <v>64965</v>
      </c>
      <c r="G33" s="129">
        <f>GETPIVOTDATA("dato",'[1]Turistas por categorías '!$A$4,"categoría","5 *","mes",10,"año",2008)</f>
        <v>14206</v>
      </c>
      <c r="H33" s="129">
        <f>GETPIVOTDATA("dato",'[1]Turistas por categorías '!$A$4,"categoría","HOTELEROS","mes",10,"año",2008)</f>
        <v>101498</v>
      </c>
      <c r="I33" s="129">
        <f>GETPIVOTDATA("dato",'[1]Turistas por categorías '!$A$4,"categoría","EXTRAHOTELEROS","mes",10,"año",2008)</f>
        <v>58945</v>
      </c>
      <c r="J33" s="129">
        <f>GETPIVOTDATA("dato",'[1]Turistas por categorías '!$A$4,"categoría","TOTAL","mes",10,"año",2008)</f>
        <v>160443</v>
      </c>
    </row>
    <row r="34" spans="3:10" hidden="1" outlineLevel="1">
      <c r="C34" s="51" t="s">
        <v>40</v>
      </c>
      <c r="D34" s="129">
        <f>GETPIVOTDATA("dato",'[1]Turistas por categorías '!$A$4,"categoría","1* Y 2 *","mes",9,"año",2008)</f>
        <v>1736</v>
      </c>
      <c r="E34" s="129">
        <f>GETPIVOTDATA("dato",'[1]Turistas por categorías '!$A$4,"categoría","3 *","mes",9,"año",2008)</f>
        <v>14279</v>
      </c>
      <c r="F34" s="129">
        <f>GETPIVOTDATA("dato",'[1]Turistas por categorías '!$A$4,"categoría","4 *","mes",9,"año",2008)</f>
        <v>59900</v>
      </c>
      <c r="G34" s="129">
        <f>GETPIVOTDATA("dato",'[1]Turistas por categorías '!$A$4,"categoría","5 *","mes",9,"año",2008)</f>
        <v>12277</v>
      </c>
      <c r="H34" s="129">
        <f>GETPIVOTDATA("dato",'[1]Turistas por categorías '!$A$4,"categoría","HOTELEROS","mes",9,"año",2008)</f>
        <v>88192</v>
      </c>
      <c r="I34" s="129">
        <f>GETPIVOTDATA("dato",'[1]Turistas por categorías '!$A$4,"categoría","EXTRAHOTELEROS","mes",9,"año",2008)</f>
        <v>49248</v>
      </c>
      <c r="J34" s="129">
        <f>GETPIVOTDATA("dato",'[1]Turistas por categorías '!$A$4,"categoría","TOTAL","mes",9,"año",2008)</f>
        <v>137440</v>
      </c>
    </row>
    <row r="35" spans="3:10" hidden="1" outlineLevel="1">
      <c r="C35" s="51" t="s">
        <v>41</v>
      </c>
      <c r="D35" s="129">
        <f>GETPIVOTDATA("dato",'[1]Turistas por categorías '!$A$4,"categoría","1* Y 2 *","mes",8,"año",2008)</f>
        <v>2167</v>
      </c>
      <c r="E35" s="129">
        <f>GETPIVOTDATA("dato",'[1]Turistas por categorías '!$A$4,"categoría","3 *","mes",8,"año",2008)</f>
        <v>22365</v>
      </c>
      <c r="F35" s="129">
        <f>GETPIVOTDATA("dato",'[1]Turistas por categorías '!$A$4,"categoría","4 *","mes",8,"año",2008)</f>
        <v>76297</v>
      </c>
      <c r="G35" s="129">
        <f>GETPIVOTDATA("dato",'[1]Turistas por categorías '!$A$4,"categoría","5 *","mes",8,"año",2008)</f>
        <v>14310</v>
      </c>
      <c r="H35" s="129">
        <f>GETPIVOTDATA("dato",'[1]Turistas por categorías '!$A$4,"categoría","HOTELEROS","mes",8,"año",2008)</f>
        <v>115139</v>
      </c>
      <c r="I35" s="129">
        <f>GETPIVOTDATA("dato",'[1]Turistas por categorías '!$A$4,"categoría","EXTRAHOTELEROS","mes",8,"año",2008)</f>
        <v>72859</v>
      </c>
      <c r="J35" s="129">
        <f>GETPIVOTDATA("dato",'[1]Turistas por categorías '!$A$4,"categoría","TOTAL","mes",8,"año",2008)</f>
        <v>187998</v>
      </c>
    </row>
    <row r="36" spans="3:10" hidden="1" outlineLevel="1">
      <c r="C36" s="51" t="s">
        <v>42</v>
      </c>
      <c r="D36" s="129">
        <f>GETPIVOTDATA("dato",'[1]Turistas por categorías '!$A$4,"categoría","1* Y 2 *","mes",7,"año",2008)</f>
        <v>1656</v>
      </c>
      <c r="E36" s="129">
        <f>GETPIVOTDATA("dato",'[1]Turistas por categorías '!$A$4,"categoría","3 *","mes",7,"año",2008)</f>
        <v>18139</v>
      </c>
      <c r="F36" s="129">
        <f>GETPIVOTDATA("dato",'[1]Turistas por categorías '!$A$4,"categoría","4 *","mes",7,"año",2008)</f>
        <v>67351</v>
      </c>
      <c r="G36" s="129">
        <f>GETPIVOTDATA("dato",'[1]Turistas por categorías '!$A$4,"categoría","5 *","mes",7,"año",2008)</f>
        <v>15570</v>
      </c>
      <c r="H36" s="129">
        <f>GETPIVOTDATA("dato",'[1]Turistas por categorías '!$A$4,"categoría","HOTELEROS","mes",7,"año",2008)</f>
        <v>102716</v>
      </c>
      <c r="I36" s="129">
        <f>GETPIVOTDATA("dato",'[1]Turistas por categorías '!$A$4,"categoría","EXTRAHOTELEROS","mes",7,"año",2008)</f>
        <v>58557</v>
      </c>
      <c r="J36" s="129">
        <f>GETPIVOTDATA("dato",'[1]Turistas por categorías '!$A$4,"categoría","TOTAL","mes",7,"año",2008)</f>
        <v>161273</v>
      </c>
    </row>
    <row r="37" spans="3:10" hidden="1" outlineLevel="1">
      <c r="C37" s="51" t="s">
        <v>43</v>
      </c>
      <c r="D37" s="129">
        <f>GETPIVOTDATA("dato",'[1]Turistas por categorías '!$A$4,"categoría","1* Y 2 *","mes",6,"año",2008)</f>
        <v>1522</v>
      </c>
      <c r="E37" s="129">
        <f>GETPIVOTDATA("dato",'[1]Turistas por categorías '!$A$4,"categoría","3 *","mes",6,"año",2008)</f>
        <v>18540</v>
      </c>
      <c r="F37" s="129">
        <f>GETPIVOTDATA("dato",'[1]Turistas por categorías '!$A$4,"categoría","4 *","mes",6,"año",2008)</f>
        <v>63910</v>
      </c>
      <c r="G37" s="129">
        <f>GETPIVOTDATA("dato",'[1]Turistas por categorías '!$A$4,"categoría","5 *","mes",6,"año",2008)</f>
        <v>14769</v>
      </c>
      <c r="H37" s="129">
        <f>GETPIVOTDATA("dato",'[1]Turistas por categorías '!$A$4,"categoría","HOTELEROS","mes",6,"año",2008)</f>
        <v>98741</v>
      </c>
      <c r="I37" s="129">
        <f>GETPIVOTDATA("dato",'[1]Turistas por categorías '!$A$4,"categoría","EXTRAHOTELEROS","mes",6,"año",2008)</f>
        <v>47622</v>
      </c>
      <c r="J37" s="129">
        <f>GETPIVOTDATA("dato",'[1]Turistas por categorías '!$A$4,"categoría","TOTAL","mes",6,"año",2008)</f>
        <v>146363</v>
      </c>
    </row>
    <row r="38" spans="3:10" hidden="1" outlineLevel="1">
      <c r="C38" s="51" t="s">
        <v>44</v>
      </c>
      <c r="D38" s="129">
        <f>GETPIVOTDATA("dato",'[1]Turistas por categorías '!$A$4,"categoría","1* Y 2 *","mes",5,"año",2008)</f>
        <v>1910</v>
      </c>
      <c r="E38" s="129">
        <f>GETPIVOTDATA("dato",'[1]Turistas por categorías '!$A$4,"categoría","3 *","mes",5,"año",2008)</f>
        <v>19618</v>
      </c>
      <c r="F38" s="129">
        <f>GETPIVOTDATA("dato",'[1]Turistas por categorías '!$A$4,"categoría","4 *","mes",5,"año",2008)</f>
        <v>64569</v>
      </c>
      <c r="G38" s="129">
        <f>GETPIVOTDATA("dato",'[1]Turistas por categorías '!$A$4,"categoría","5 *","mes",5,"año",2008)</f>
        <v>17657</v>
      </c>
      <c r="H38" s="129">
        <f>GETPIVOTDATA("dato",'[1]Turistas por categorías '!$A$4,"categoría","HOTELEROS","mes",5,"año",2008)</f>
        <v>103754</v>
      </c>
      <c r="I38" s="129">
        <f>GETPIVOTDATA("dato",'[1]Turistas por categorías '!$A$4,"categoría","EXTRAHOTELEROS","mes",5,"año",2008)</f>
        <v>49751</v>
      </c>
      <c r="J38" s="129">
        <f>GETPIVOTDATA("dato",'[1]Turistas por categorías '!$A$4,"categoría","TOTAL","mes",5,"año",2008)</f>
        <v>153505</v>
      </c>
    </row>
    <row r="39" spans="3:10" hidden="1" outlineLevel="1">
      <c r="C39" s="51" t="s">
        <v>45</v>
      </c>
      <c r="D39" s="129">
        <f>GETPIVOTDATA("dato",'[1]Turistas por categorías '!$A$4,"categoría","1* Y 2 *","mes",4,"año",2008)</f>
        <v>1676</v>
      </c>
      <c r="E39" s="129">
        <f>GETPIVOTDATA("dato",'[1]Turistas por categorías '!$A$4,"categoría","3 *","mes",4,"año",2008)</f>
        <v>21615</v>
      </c>
      <c r="F39" s="129">
        <f>GETPIVOTDATA("dato",'[1]Turistas por categorías '!$A$4,"categoría","4 *","mes",4,"año",2008)</f>
        <v>62900</v>
      </c>
      <c r="G39" s="129">
        <f>GETPIVOTDATA("dato",'[1]Turistas por categorías '!$A$4,"categoría","5 *","mes",4,"año",2008)</f>
        <v>16367</v>
      </c>
      <c r="H39" s="129">
        <f>GETPIVOTDATA("dato",'[1]Turistas por categorías '!$A$4,"categoría","HOTELEROS","mes",4,"año",2008)</f>
        <v>102558</v>
      </c>
      <c r="I39" s="129">
        <f>GETPIVOTDATA("dato",'[1]Turistas por categorías '!$A$4,"categoría","EXTRAHOTELEROS","mes",4,"año",2008)</f>
        <v>51464</v>
      </c>
      <c r="J39" s="129">
        <f>GETPIVOTDATA("dato",'[1]Turistas por categorías '!$A$4,"categoría","TOTAL","mes",4,"año",2008)</f>
        <v>154022</v>
      </c>
    </row>
    <row r="40" spans="3:10" hidden="1" outlineLevel="1">
      <c r="C40" s="51" t="s">
        <v>46</v>
      </c>
      <c r="D40" s="129">
        <f>GETPIVOTDATA("dato",'[1]Turistas por categorías '!$A$4,"categoría","1* Y 2 *","mes",3,"año",2008)</f>
        <v>2119</v>
      </c>
      <c r="E40" s="129">
        <f>GETPIVOTDATA("dato",'[1]Turistas por categorías '!$A$4,"categoría","3 *","mes",3,"año",2008)</f>
        <v>24922</v>
      </c>
      <c r="F40" s="129">
        <f>GETPIVOTDATA("dato",'[1]Turistas por categorías '!$A$4,"categoría","4 *","mes",3,"año",2008)</f>
        <v>73240</v>
      </c>
      <c r="G40" s="129">
        <f>GETPIVOTDATA("dato",'[1]Turistas por categorías '!$A$4,"categoría","5 *","mes",3,"año",2008)</f>
        <v>17393</v>
      </c>
      <c r="H40" s="129">
        <f>GETPIVOTDATA("dato",'[1]Turistas por categorías '!$A$4,"categoría","HOTELEROS","mes",3,"año",2008)</f>
        <v>117674</v>
      </c>
      <c r="I40" s="129">
        <f>GETPIVOTDATA("dato",'[1]Turistas por categorías '!$A$4,"categoría","EXTRAHOTELEROS","mes",3,"año",2008)</f>
        <v>65773</v>
      </c>
      <c r="J40" s="129">
        <f>GETPIVOTDATA("dato",'[1]Turistas por categorías '!$A$4,"categoría","TOTAL","mes",3,"año",2008)</f>
        <v>183447</v>
      </c>
    </row>
    <row r="41" spans="3:10" hidden="1" outlineLevel="1">
      <c r="C41" s="51" t="s">
        <v>47</v>
      </c>
      <c r="D41" s="129">
        <f>GETPIVOTDATA("dato",'[1]Turistas por categorías '!$A$4,"categoría","1* Y 2 *","mes",2,"año",2008)</f>
        <v>2196</v>
      </c>
      <c r="E41" s="129">
        <f>GETPIVOTDATA("dato",'[1]Turistas por categorías '!$A$4,"categoría","3 *","mes",2,"año",2008)</f>
        <v>22490</v>
      </c>
      <c r="F41" s="129">
        <f>GETPIVOTDATA("dato",'[1]Turistas por categorías '!$A$4,"categoría","4 *","mes",2,"año",2008)</f>
        <v>63955</v>
      </c>
      <c r="G41" s="129">
        <f>GETPIVOTDATA("dato",'[1]Turistas por categorías '!$A$4,"categoría","5 *","mes",2,"año",2008)</f>
        <v>15880</v>
      </c>
      <c r="H41" s="129">
        <f>GETPIVOTDATA("dato",'[1]Turistas por categorías '!$A$4,"categoría","HOTELEROS","mes",2,"año",2008)</f>
        <v>104521</v>
      </c>
      <c r="I41" s="129">
        <f>GETPIVOTDATA("dato",'[1]Turistas por categorías '!$A$4,"categoría","EXTRAHOTELEROS","mes",2,"año",2008)</f>
        <v>63733</v>
      </c>
      <c r="J41" s="129">
        <f>GETPIVOTDATA("dato",'[1]Turistas por categorías '!$A$4,"categoría","TOTAL","mes",2,"año",2008)</f>
        <v>168254</v>
      </c>
    </row>
    <row r="42" spans="3:10" hidden="1" outlineLevel="1">
      <c r="C42" s="51" t="s">
        <v>48</v>
      </c>
      <c r="D42" s="129">
        <f>GETPIVOTDATA("dato",'[1]Turistas por categorías '!$A$4,"categoría","1* Y 2 *","mes",1,"año",2008)</f>
        <v>1824</v>
      </c>
      <c r="E42" s="129">
        <f>GETPIVOTDATA("dato",'[1]Turistas por categorías '!$A$4,"categoría","3 *","mes",1,"año",2008)</f>
        <v>21267</v>
      </c>
      <c r="F42" s="129">
        <f>GETPIVOTDATA("dato",'[1]Turistas por categorías '!$A$4,"categoría","4 *","mes",1,"año",2008)</f>
        <v>56514</v>
      </c>
      <c r="G42" s="129">
        <f>GETPIVOTDATA("dato",'[1]Turistas por categorías '!$A$4,"categoría","5 *","mes",1,"año",2008)</f>
        <v>13041</v>
      </c>
      <c r="H42" s="129">
        <f>GETPIVOTDATA("dato",'[1]Turistas por categorías '!$A$4,"categoría","HOTELEROS","mes",1,"año",2008)</f>
        <v>92646</v>
      </c>
      <c r="I42" s="129">
        <f>GETPIVOTDATA("dato",'[1]Turistas por categorías '!$A$4,"categoría","EXTRAHOTELEROS","mes",1,"año",2008)</f>
        <v>54485</v>
      </c>
      <c r="J42" s="129">
        <f>GETPIVOTDATA("dato",'[1]Turistas por categorías '!$A$4,"categoría","TOTAL","mes",1,"año",2008)</f>
        <v>147131</v>
      </c>
    </row>
    <row r="43" spans="3:10" collapsed="1">
      <c r="C43" s="165">
        <v>2008</v>
      </c>
      <c r="D43" s="135">
        <f>GETPIVOTDATA("dato",'[1]Turistas por categorías '!$A$4,"categoría","1* Y 2 *","año",2008)</f>
        <v>22704</v>
      </c>
      <c r="E43" s="135">
        <f>GETPIVOTDATA("dato",'[1]Turistas por categorías '!$A$4,"categoría","3 *","año",2008)</f>
        <v>241394</v>
      </c>
      <c r="F43" s="135">
        <f>GETPIVOTDATA("dato",'[1]Turistas por categorías '!$A$4,"categoría","4 *","año",2008)</f>
        <v>769419</v>
      </c>
      <c r="G43" s="135">
        <f>GETPIVOTDATA("dato",'[1]Turistas por categorías '!$A$4,"categoría","5 *","año",2008)</f>
        <v>174618</v>
      </c>
      <c r="H43" s="135">
        <f>GETPIVOTDATA("dato",'[1]Turistas por categorías '!$A$4,"categoría","hoteleros","año",2008)</f>
        <v>1208135</v>
      </c>
      <c r="I43" s="135">
        <f>GETPIVOTDATA("dato",'[1]Turistas por categorías '!$A$4,"categoría","extrahoteleros","año",2008)</f>
        <v>682665</v>
      </c>
      <c r="J43" s="135">
        <f>GETPIVOTDATA("dato",'[1]Turistas por categorías '!$A$4,"categoría","total","año",2008)</f>
        <v>1890800</v>
      </c>
    </row>
    <row r="44" spans="3:10" hidden="1" outlineLevel="1">
      <c r="C44" s="51" t="s">
        <v>37</v>
      </c>
      <c r="D44" s="129">
        <f>GETPIVOTDATA("dato",'[1]Turistas por categorías '!$A$4,"categoría","1* y 2 *","mes",12,"año",2007)</f>
        <v>2063</v>
      </c>
      <c r="E44" s="129">
        <f>GETPIVOTDATA("dato",'[1]Turistas por categorías '!$A$4,"categoría","3 *","mes",12,"año",2007)</f>
        <v>20192</v>
      </c>
      <c r="F44" s="129">
        <f>GETPIVOTDATA("dato",'[1]Turistas por categorías '!$A$4,"categoría","4 *","mes",12,"año",2007)</f>
        <v>57270</v>
      </c>
      <c r="G44" s="129">
        <f>GETPIVOTDATA("dato",'[1]Turistas por categorías '!$A$4,"categoría","5 *","mes",12,"año",2007)</f>
        <v>14999</v>
      </c>
      <c r="H44" s="129">
        <f>GETPIVOTDATA("dato",'[1]Turistas por categorías '!$A$4,"categoría","HOTELEROS","mes",12,"año",2007)</f>
        <v>94524</v>
      </c>
      <c r="I44" s="129">
        <f>GETPIVOTDATA("dato",'[1]Turistas por categorías '!$A$4,"categoría","EXTRAHOTELEROS","mes",12,"año",2007)</f>
        <v>55070</v>
      </c>
      <c r="J44" s="129">
        <f>GETPIVOTDATA("dato",'[1]Turistas por categorías '!$A$4,"categoría","TOTAL","mes",12,"año",2007)</f>
        <v>149594</v>
      </c>
    </row>
    <row r="45" spans="3:10" hidden="1" outlineLevel="1">
      <c r="C45" s="51" t="s">
        <v>38</v>
      </c>
      <c r="D45" s="129">
        <f>GETPIVOTDATA("dato",'[1]Turistas por categorías '!$A$4,"categoría","1* Y 2 *","mes",11,"año",2007)</f>
        <v>2255</v>
      </c>
      <c r="E45" s="129">
        <f>GETPIVOTDATA("dato",'[1]Turistas por categorías '!$A$4,"categoría","3 *","mes",11,"año",2007)</f>
        <v>21583</v>
      </c>
      <c r="F45" s="129">
        <f>GETPIVOTDATA("dato",'[1]Turistas por categorías '!$A$4,"categoría","4 *","mes",11,"año",2007)</f>
        <v>63225</v>
      </c>
      <c r="G45" s="129">
        <f>GETPIVOTDATA("dato",'[1]Turistas por categorías '!$A$4,"categoría","5 *","mes",11,"año",2007)</f>
        <v>15900</v>
      </c>
      <c r="H45" s="129">
        <f>GETPIVOTDATA("dato",'[1]Turistas por categorías '!$A$4,"categoría","HOTELEROS","mes",11,"año",2007)</f>
        <v>102963</v>
      </c>
      <c r="I45" s="129">
        <f>GETPIVOTDATA("dato",'[1]Turistas por categorías '!$A$4,"categoría","EXTRAHOTELEROS","mes",11,"año",2007)</f>
        <v>62813</v>
      </c>
      <c r="J45" s="129">
        <f>GETPIVOTDATA("dato",'[1]Turistas por categorías '!$A$4,"categoría","TOTAL","mes",11,"año",2007)</f>
        <v>165776</v>
      </c>
    </row>
    <row r="46" spans="3:10" hidden="1" outlineLevel="1">
      <c r="C46" s="51" t="s">
        <v>39</v>
      </c>
      <c r="D46" s="129">
        <f>GETPIVOTDATA("dato",'[1]Turistas por categorías '!$A$4,"categoría","1* Y 2 *","mes",10,"año",2007)</f>
        <v>1874</v>
      </c>
      <c r="E46" s="129">
        <f>GETPIVOTDATA("dato",'[1]Turistas por categorías '!$A$4,"categoría","3 *","mes",10,"año",2007)</f>
        <v>20199</v>
      </c>
      <c r="F46" s="129">
        <f>GETPIVOTDATA("dato",'[1]Turistas por categorías '!$A$4,"categoría","4 *","mes",10,"año",2007)</f>
        <v>71262</v>
      </c>
      <c r="G46" s="129">
        <f>GETPIVOTDATA("dato",'[1]Turistas por categorías '!$A$4,"categoría","5 *","mes",10,"año",2007)</f>
        <v>17614</v>
      </c>
      <c r="H46" s="129">
        <f>GETPIVOTDATA("dato",'[1]Turistas por categorías '!$A$4,"categoría","HOTELEROS","mes",10,"año",2007)</f>
        <v>110949</v>
      </c>
      <c r="I46" s="129">
        <f>GETPIVOTDATA("dato",'[1]Turistas por categorías '!$A$4,"categoría","EXTRAHOTELEROS","mes",10,"año",2007)</f>
        <v>59898</v>
      </c>
      <c r="J46" s="129">
        <f>GETPIVOTDATA("dato",'[1]Turistas por categorías '!$A$4,"categoría","TOTAL","mes",10,"año",2007)</f>
        <v>170847</v>
      </c>
    </row>
    <row r="47" spans="3:10" hidden="1" outlineLevel="1">
      <c r="C47" s="51" t="s">
        <v>40</v>
      </c>
      <c r="D47" s="129">
        <f>GETPIVOTDATA("dato",'[1]Turistas por categorías '!$A$4,"categoría","1* Y 2 *","mes",9,"año",2007)</f>
        <v>1720</v>
      </c>
      <c r="E47" s="129">
        <f>GETPIVOTDATA("dato",'[1]Turistas por categorías '!$A$4,"categoría","3 *","mes",9,"año",2007)</f>
        <v>17144</v>
      </c>
      <c r="F47" s="129">
        <f>GETPIVOTDATA("dato",'[1]Turistas por categorías '!$A$4,"categoría","4 *","mes",9,"año",2007)</f>
        <v>60129</v>
      </c>
      <c r="G47" s="129">
        <f>GETPIVOTDATA("dato",'[1]Turistas por categorías '!$A$4,"categoría","5 *","mes",9,"año",2007)</f>
        <v>15698</v>
      </c>
      <c r="H47" s="129">
        <f>GETPIVOTDATA("dato",'[1]Turistas por categorías '!$A$4,"categoría","HOTELEROS","mes",9,"año",2007)</f>
        <v>94691</v>
      </c>
      <c r="I47" s="129">
        <f>GETPIVOTDATA("dato",'[1]Turistas por categorías '!$A$4,"categoría","EXTRAHOTELEROS","mes",9,"año",2007)</f>
        <v>47682</v>
      </c>
      <c r="J47" s="129">
        <f>GETPIVOTDATA("dato",'[1]Turistas por categorías '!$A$4,"categoría","TOTAL","mes",9,"año",2007)</f>
        <v>142373</v>
      </c>
    </row>
    <row r="48" spans="3:10" hidden="1" outlineLevel="1">
      <c r="C48" s="51" t="s">
        <v>41</v>
      </c>
      <c r="D48" s="129">
        <f>GETPIVOTDATA("dato",'[1]Turistas por categorías '!$A$4,"categoría","1* Y 2 *","mes",8,"año",2007)</f>
        <v>1427</v>
      </c>
      <c r="E48" s="129">
        <f>GETPIVOTDATA("dato",'[1]Turistas por categorías '!$A$4,"categoría","3 *","mes",8,"año",2007)</f>
        <v>25182</v>
      </c>
      <c r="F48" s="129">
        <f>GETPIVOTDATA("dato",'[1]Turistas por categorías '!$A$4,"categoría","4 *","mes",8,"año",2007)</f>
        <v>70431</v>
      </c>
      <c r="G48" s="129">
        <f>GETPIVOTDATA("dato",'[1]Turistas por categorías '!$A$4,"categoría","5 *","mes",8,"año",2007)</f>
        <v>16674</v>
      </c>
      <c r="H48" s="129">
        <f>GETPIVOTDATA("dato",'[1]Turistas por categorías '!$A$4,"categoría","HOTELEROS","mes",8,"año",2007)</f>
        <v>113714</v>
      </c>
      <c r="I48" s="129">
        <f>GETPIVOTDATA("dato",'[1]Turistas por categorías '!$A$4,"categoría","EXTRAHOTELEROS","mes",8,"año",2007)</f>
        <v>71928</v>
      </c>
      <c r="J48" s="129">
        <f>GETPIVOTDATA("dato",'[1]Turistas por categorías '!$A$4,"categoría","TOTAL","mes",8,"año",2007)</f>
        <v>185642</v>
      </c>
    </row>
    <row r="49" spans="3:10" hidden="1" outlineLevel="1">
      <c r="C49" s="51" t="s">
        <v>42</v>
      </c>
      <c r="D49" s="129">
        <f>GETPIVOTDATA("dato",'[1]Turistas por categorías '!$A$4,"categoría","1* Y 2 *","mes",7,"año",2007)</f>
        <v>1158</v>
      </c>
      <c r="E49" s="129">
        <f>GETPIVOTDATA("dato",'[1]Turistas por categorías '!$A$4,"categoría","3 *","mes",7,"año",2007)</f>
        <v>19468</v>
      </c>
      <c r="F49" s="129">
        <f>GETPIVOTDATA("dato",'[1]Turistas por categorías '!$A$4,"categoría","4 *","mes",7,"año",2007)</f>
        <v>69962</v>
      </c>
      <c r="G49" s="129">
        <f>GETPIVOTDATA("dato",'[1]Turistas por categorías '!$A$4,"categoría","5 *","mes",7,"año",2007)</f>
        <v>14642</v>
      </c>
      <c r="H49" s="129">
        <f>GETPIVOTDATA("dato",'[1]Turistas por categorías '!$A$4,"categoría","HOTELEROS","mes",7,"año",2007)</f>
        <v>105230</v>
      </c>
      <c r="I49" s="129">
        <f>GETPIVOTDATA("dato",'[1]Turistas por categorías '!$A$4,"categoría","EXTRAHOTELEROS","mes",7,"año",2007)</f>
        <v>55089</v>
      </c>
      <c r="J49" s="129">
        <f>GETPIVOTDATA("dato",'[1]Turistas por categorías '!$A$4,"categoría","TOTAL","mes",7,"año",2007)</f>
        <v>160319</v>
      </c>
    </row>
    <row r="50" spans="3:10" hidden="1" outlineLevel="1">
      <c r="C50" s="51" t="s">
        <v>43</v>
      </c>
      <c r="D50" s="129">
        <f>GETPIVOTDATA("dato",'[1]Turistas por categorías '!$A$4,"categoría","1* Y 2 *","mes",6,"año",2007)</f>
        <v>1377</v>
      </c>
      <c r="E50" s="129">
        <f>GETPIVOTDATA("dato",'[1]Turistas por categorías '!$A$4,"categoría","3 *","mes",6,"año",2007)</f>
        <v>17760</v>
      </c>
      <c r="F50" s="129">
        <f>GETPIVOTDATA("dato",'[1]Turistas por categorías '!$A$4,"categoría","4 *","mes",6,"año",2007)</f>
        <v>63490</v>
      </c>
      <c r="G50" s="129">
        <f>GETPIVOTDATA("dato",'[1]Turistas por categorías '!$A$4,"categoría","5 *","mes",6,"año",2007)</f>
        <v>13424</v>
      </c>
      <c r="H50" s="129">
        <f>GETPIVOTDATA("dato",'[1]Turistas por categorías '!$A$4,"categoría","HOTELEROS","mes",6,"año",2007)</f>
        <v>96051</v>
      </c>
      <c r="I50" s="129">
        <f>GETPIVOTDATA("dato",'[1]Turistas por categorías '!$A$4,"categoría","EXTRAHOTELEROS","mes",6,"año",2007)</f>
        <v>48455</v>
      </c>
      <c r="J50" s="129">
        <f>GETPIVOTDATA("dato",'[1]Turistas por categorías '!$A$4,"categoría","TOTAL","mes",6,"año",2007)</f>
        <v>144506</v>
      </c>
    </row>
    <row r="51" spans="3:10" hidden="1" outlineLevel="1">
      <c r="C51" s="51" t="s">
        <v>44</v>
      </c>
      <c r="D51" s="129">
        <f>GETPIVOTDATA("dato",'[1]Turistas por categorías '!$A$4,"categoría","1* Y 2 *","mes",5,"año",2007)</f>
        <v>1111</v>
      </c>
      <c r="E51" s="129">
        <f>GETPIVOTDATA("dato",'[1]Turistas por categorías '!$A$4,"categoría","3 *","mes",5,"año",2007)</f>
        <v>12286</v>
      </c>
      <c r="F51" s="129">
        <f>GETPIVOTDATA("dato",'[1]Turistas por categorías '!$A$4,"categoría","4 *","mes",5,"año",2007)</f>
        <v>53295</v>
      </c>
      <c r="G51" s="129">
        <f>GETPIVOTDATA("dato",'[1]Turistas por categorías '!$A$4,"categoría","5 *","mes",5,"año",2007)</f>
        <v>13192</v>
      </c>
      <c r="H51" s="129">
        <f>GETPIVOTDATA("dato",'[1]Turistas por categorías '!$A$4,"categoría","HOTELEROS","mes",5,"año",2007)</f>
        <v>79884</v>
      </c>
      <c r="I51" s="129">
        <f>GETPIVOTDATA("dato",'[1]Turistas por categorías '!$A$4,"categoría","EXTRAHOTELEROS","mes",5,"año",2007)</f>
        <v>36244</v>
      </c>
      <c r="J51" s="129">
        <f>GETPIVOTDATA("dato",'[1]Turistas por categorías '!$A$4,"categoría","TOTAL","mes",5,"año",2007)</f>
        <v>116128</v>
      </c>
    </row>
    <row r="52" spans="3:10" hidden="1" outlineLevel="1">
      <c r="C52" s="51" t="s">
        <v>45</v>
      </c>
      <c r="D52" s="129">
        <f>GETPIVOTDATA("dato",'[1]Turistas por categorías '!$A$4,"categoría","1* Y 2 *","mes",4,"año",2007)</f>
        <v>1147</v>
      </c>
      <c r="E52" s="129">
        <f>GETPIVOTDATA("dato",'[1]Turistas por categorías '!$A$4,"categoría","3 *","mes",4,"año",2007)</f>
        <v>19459</v>
      </c>
      <c r="F52" s="129">
        <f>GETPIVOTDATA("dato",'[1]Turistas por categorías '!$A$4,"categoría","4 *","mes",4,"año",2007)</f>
        <v>68331</v>
      </c>
      <c r="G52" s="129">
        <f>GETPIVOTDATA("dato",'[1]Turistas por categorías '!$A$4,"categoría","5 *","mes",4,"año",2007)</f>
        <v>17198</v>
      </c>
      <c r="H52" s="129">
        <f>GETPIVOTDATA("dato",'[1]Turistas por categorías '!$A$4,"categoría","HOTELEROS","mes",4,"año",2007)</f>
        <v>106135</v>
      </c>
      <c r="I52" s="129">
        <f>GETPIVOTDATA("dato",'[1]Turistas por categorías '!$A$4,"categoría","EXTRAHOTELEROS","mes",4,"año",2007)</f>
        <v>54856</v>
      </c>
      <c r="J52" s="129">
        <f>GETPIVOTDATA("dato",'[1]Turistas por categorías '!$A$4,"categoría","TOTAL","mes",4,"año",2007)</f>
        <v>160991</v>
      </c>
    </row>
    <row r="53" spans="3:10" hidden="1" outlineLevel="1">
      <c r="C53" s="51" t="s">
        <v>46</v>
      </c>
      <c r="D53" s="129">
        <f>GETPIVOTDATA("dato",'[1]Turistas por categorías '!$A$4,"categoría","1* Y 2 *","mes",3,"año",2007)</f>
        <v>2299</v>
      </c>
      <c r="E53" s="129">
        <f>GETPIVOTDATA("dato",'[1]Turistas por categorías '!$A$4,"categoría","3 *","mes",3,"año",2007)</f>
        <v>22390</v>
      </c>
      <c r="F53" s="129">
        <f>GETPIVOTDATA("dato",'[1]Turistas por categorías '!$A$4,"categoría","4 *","mes",3,"año",2007)</f>
        <v>66886</v>
      </c>
      <c r="G53" s="129">
        <f>GETPIVOTDATA("dato",'[1]Turistas por categorías '!$A$4,"categoría","5 *","mes",3,"año",2007)</f>
        <v>14606</v>
      </c>
      <c r="H53" s="129">
        <f>GETPIVOTDATA("dato",'[1]Turistas por categorías '!$A$4,"categoría","HOTELEROS","mes",3,"año",2007)</f>
        <v>106181</v>
      </c>
      <c r="I53" s="129">
        <f>GETPIVOTDATA("dato",'[1]Turistas por categorías '!$A$4,"categoría","EXTRAHOTELEROS","mes",3,"año",2007)</f>
        <v>68170</v>
      </c>
      <c r="J53" s="129">
        <f>GETPIVOTDATA("dato",'[1]Turistas por categorías '!$A$4,"categoría","TOTAL","mes",3,"año",2007)</f>
        <v>174351</v>
      </c>
    </row>
    <row r="54" spans="3:10" hidden="1" outlineLevel="1">
      <c r="C54" s="51" t="s">
        <v>47</v>
      </c>
      <c r="D54" s="129">
        <f>GETPIVOTDATA("dato",'[1]Turistas por categorías '!$A$4,"categoría","1* Y 2 *","mes",2,"año",2007)</f>
        <v>2109</v>
      </c>
      <c r="E54" s="129">
        <f>GETPIVOTDATA("dato",'[1]Turistas por categorías '!$A$4,"categoría","3 *","mes",2,"año",2007)</f>
        <v>19899</v>
      </c>
      <c r="F54" s="129">
        <f>GETPIVOTDATA("dato",'[1]Turistas por categorías '!$A$4,"categoría","4 *","mes",2,"año",2007)</f>
        <v>56647</v>
      </c>
      <c r="G54" s="129">
        <f>GETPIVOTDATA("dato",'[1]Turistas por categorías '!$A$4,"categoría","5 *","mes",2,"año",2007)</f>
        <v>15362</v>
      </c>
      <c r="H54" s="129">
        <f>GETPIVOTDATA("dato",'[1]Turistas por categorías '!$A$4,"categoría","HOTELEROS","mes",2,"año",2007)</f>
        <v>94017</v>
      </c>
      <c r="I54" s="129">
        <f>GETPIVOTDATA("dato",'[1]Turistas por categorías '!$A$4,"categoría","EXTRAHOTELEROS","mes",2,"año",2007)</f>
        <v>57394</v>
      </c>
      <c r="J54" s="129">
        <f>GETPIVOTDATA("dato",'[1]Turistas por categorías '!$A$4,"categoría","TOTAL","mes",2,"año",2007)</f>
        <v>151411</v>
      </c>
    </row>
    <row r="55" spans="3:10" hidden="1" outlineLevel="1">
      <c r="C55" s="51" t="s">
        <v>48</v>
      </c>
      <c r="D55" s="129">
        <f>GETPIVOTDATA("dato",'[1]Turistas por categorías '!$A$4,"categoría","1* Y 2 *","mes",1,"año",2007)</f>
        <v>1957</v>
      </c>
      <c r="E55" s="129">
        <f>GETPIVOTDATA("dato",'[1]Turistas por categorías '!$A$4,"categoría","3 *","mes",1,"año",2007)</f>
        <v>18553</v>
      </c>
      <c r="F55" s="129">
        <f>GETPIVOTDATA("dato",'[1]Turistas por categorías '!$A$4,"categoría","4 *","mes",1,"año",2007)</f>
        <v>57068</v>
      </c>
      <c r="G55" s="129">
        <f>GETPIVOTDATA("dato",'[1]Turistas por categorías '!$A$4,"categoría","5 *","mes",1,"año",2007)</f>
        <v>13653</v>
      </c>
      <c r="H55" s="129">
        <f>GETPIVOTDATA("dato",'[1]Turistas por categorías '!$A$4,"categoría","HOTELEROS","mes",1,"año",2007)</f>
        <v>91231</v>
      </c>
      <c r="I55" s="129">
        <f>GETPIVOTDATA("dato",'[1]Turistas por categorías '!$A$4,"categoría","EXTRAHOTELEROS","mes",1,"año",2007)</f>
        <v>55013</v>
      </c>
      <c r="J55" s="129">
        <f>GETPIVOTDATA("dato",'[1]Turistas por categorías '!$A$4,"categoría","TOTAL","mes",1,"año",2007)</f>
        <v>146244</v>
      </c>
    </row>
    <row r="56" spans="3:10" collapsed="1">
      <c r="C56" s="165">
        <v>2007</v>
      </c>
      <c r="D56" s="135">
        <f>GETPIVOTDATA("dato",'[1]Turistas por categorías '!$A$4,"categoría","1* Y 2 *","año",2007)</f>
        <v>20497</v>
      </c>
      <c r="E56" s="135">
        <f>GETPIVOTDATA("dato",'[1]Turistas por categorías '!$A$4,"categoría","3 *","año",2007)</f>
        <v>234115</v>
      </c>
      <c r="F56" s="135">
        <f>GETPIVOTDATA("dato",'[1]Turistas por categorías '!$A$4,"categoría","4 *","año",2007)</f>
        <v>757996</v>
      </c>
      <c r="G56" s="135">
        <f>GETPIVOTDATA("dato",'[1]Turistas por categorías '!$A$4,"categoría","5 *","año",2007)</f>
        <v>182962</v>
      </c>
      <c r="H56" s="135">
        <f>GETPIVOTDATA("dato",'[1]Turistas por categorías '!$A$4,"categoría","hoteleros","año",2007)</f>
        <v>1195570</v>
      </c>
      <c r="I56" s="135">
        <f>GETPIVOTDATA("dato",'[1]Turistas por categorías '!$A$4,"categoría","extrahoteleros","año",2007)</f>
        <v>672612</v>
      </c>
      <c r="J56" s="135">
        <f>GETPIVOTDATA("dato",'[1]Turistas por categorías '!$A$4,"categoría","total","año",2007)</f>
        <v>1868182</v>
      </c>
    </row>
    <row r="57" spans="3:10" hidden="1" outlineLevel="1">
      <c r="C57" s="51" t="s">
        <v>37</v>
      </c>
      <c r="D57" s="129">
        <f>GETPIVOTDATA("dato",'[1]Turistas por categorías '!$A$4,"categoría","1* y 2 *","mes",12,"año",2006)</f>
        <v>2443</v>
      </c>
      <c r="E57" s="129">
        <f>GETPIVOTDATA("dato",'[1]Turistas por categorías '!$A$4,"categoría","3 *","mes",12,"año",2006)</f>
        <v>19733</v>
      </c>
      <c r="F57" s="129">
        <f>GETPIVOTDATA("dato",'[1]Turistas por categorías '!$A$4,"categoría","4 *","mes",12,"año",2006)</f>
        <v>61741</v>
      </c>
      <c r="G57" s="129">
        <f>GETPIVOTDATA("dato",'[1]Turistas por categorías '!$A$4,"categoría","5 *","mes",12,"año",2006)</f>
        <v>15411</v>
      </c>
      <c r="H57" s="129">
        <f>GETPIVOTDATA("dato",'[1]Turistas por categorías '!$A$4,"categoría","HOTELEROS","mes",12,"año",2006)</f>
        <v>99328</v>
      </c>
      <c r="I57" s="129">
        <f>GETPIVOTDATA("dato",'[1]Turistas por categorías '!$A$4,"categoría","EXTRAHOTELEROS","mes",12,"año",2006)</f>
        <v>60521</v>
      </c>
      <c r="J57" s="129">
        <f>GETPIVOTDATA("dato",'[1]Turistas por categorías '!$A$4,"categoría","TOTAL","mes",12,"año",2006)</f>
        <v>159849</v>
      </c>
    </row>
    <row r="58" spans="3:10" hidden="1" outlineLevel="1">
      <c r="C58" s="51" t="s">
        <v>38</v>
      </c>
      <c r="D58" s="129">
        <f>GETPIVOTDATA("dato",'[1]Turistas por categorías '!$A$4,"categoría","1* Y 2 *","mes",11,"año",2006)</f>
        <v>2005</v>
      </c>
      <c r="E58" s="129">
        <f>GETPIVOTDATA("dato",'[1]Turistas por categorías '!$A$4,"categoría","3 *","mes",11,"año",2006)</f>
        <v>19472</v>
      </c>
      <c r="F58" s="129">
        <f>GETPIVOTDATA("dato",'[1]Turistas por categorías '!$A$4,"categoría","4 *","mes",11,"año",2006)</f>
        <v>60466</v>
      </c>
      <c r="G58" s="129">
        <f>GETPIVOTDATA("dato",'[1]Turistas por categorías '!$A$4,"categoría","5 *","mes",11,"año",2006)</f>
        <v>18730</v>
      </c>
      <c r="H58" s="129">
        <f>GETPIVOTDATA("dato",'[1]Turistas por categorías '!$A$4,"categoría","HOTELEROS","mes",11,"año",2006)</f>
        <v>100673</v>
      </c>
      <c r="I58" s="129">
        <f>GETPIVOTDATA("dato",'[1]Turistas por categorías '!$A$4,"categoría","EXTRAHOTELEROS","mes",11,"año",2006)</f>
        <v>51603</v>
      </c>
      <c r="J58" s="129">
        <f>GETPIVOTDATA("dato",'[1]Turistas por categorías '!$A$4,"categoría","TOTAL","mes",11,"año",2006)</f>
        <v>152276</v>
      </c>
    </row>
    <row r="59" spans="3:10" hidden="1" outlineLevel="1">
      <c r="C59" s="51" t="s">
        <v>39</v>
      </c>
      <c r="D59" s="129">
        <f>GETPIVOTDATA("dato",'[1]Turistas por categorías '!$A$4,"categoría","1* Y 2 *","mes",10,"año",2006)</f>
        <v>2055</v>
      </c>
      <c r="E59" s="129">
        <f>GETPIVOTDATA("dato",'[1]Turistas por categorías '!$A$4,"categoría","3 *","mes",10,"año",2006)</f>
        <v>20023</v>
      </c>
      <c r="F59" s="129">
        <f>GETPIVOTDATA("dato",'[1]Turistas por categorías '!$A$4,"categoría","4 *","mes",10,"año",2006)</f>
        <v>71822</v>
      </c>
      <c r="G59" s="129">
        <f>GETPIVOTDATA("dato",'[1]Turistas por categorías '!$A$4,"categoría","5 *","mes",10,"año",2006)</f>
        <v>19095</v>
      </c>
      <c r="H59" s="129">
        <f>GETPIVOTDATA("dato",'[1]Turistas por categorías '!$A$4,"categoría","HOTELEROS","mes",10,"año",2006)</f>
        <v>112995</v>
      </c>
      <c r="I59" s="129">
        <f>GETPIVOTDATA("dato",'[1]Turistas por categorías '!$A$4,"categoría","EXTRAHOTELEROS","mes",10,"año",2006)</f>
        <v>63866</v>
      </c>
      <c r="J59" s="129">
        <f>GETPIVOTDATA("dato",'[1]Turistas por categorías '!$A$4,"categoría","TOTAL","mes",10,"año",2006)</f>
        <v>176861</v>
      </c>
    </row>
    <row r="60" spans="3:10" hidden="1" outlineLevel="1">
      <c r="C60" s="51" t="s">
        <v>40</v>
      </c>
      <c r="D60" s="129">
        <f>GETPIVOTDATA("dato",'[1]Turistas por categorías '!$A$4,"categoría","1* Y 2 *","mes",9,"año",2006)</f>
        <v>1863</v>
      </c>
      <c r="E60" s="129">
        <f>GETPIVOTDATA("dato",'[1]Turistas por categorías '!$A$4,"categoría","3 *","mes",9,"año",2006)</f>
        <v>18051</v>
      </c>
      <c r="F60" s="129">
        <f>GETPIVOTDATA("dato",'[1]Turistas por categorías '!$A$4,"categoría","4 *","mes",9,"año",2006)</f>
        <v>68414</v>
      </c>
      <c r="G60" s="129">
        <f>GETPIVOTDATA("dato",'[1]Turistas por categorías '!$A$4,"categoría","5 *","mes",9,"año",2006)</f>
        <v>15009</v>
      </c>
      <c r="H60" s="129">
        <f>GETPIVOTDATA("dato",'[1]Turistas por categorías '!$A$4,"categoría","HOTELEROS","mes",9,"año",2006)</f>
        <v>103337</v>
      </c>
      <c r="I60" s="129">
        <f>GETPIVOTDATA("dato",'[1]Turistas por categorías '!$A$4,"categoría","EXTRAHOTELEROS","mes",9,"año",2006)</f>
        <v>60303</v>
      </c>
      <c r="J60" s="129">
        <f>GETPIVOTDATA("dato",'[1]Turistas por categorías '!$A$4,"categoría","TOTAL","mes",9,"año",2006)</f>
        <v>163640</v>
      </c>
    </row>
    <row r="61" spans="3:10" hidden="1" outlineLevel="1">
      <c r="C61" s="51" t="s">
        <v>41</v>
      </c>
      <c r="D61" s="129">
        <f>GETPIVOTDATA("dato",'[1]Turistas por categorías '!$A$4,"categoría","1* Y 2 *","mes",8,"año",2006)</f>
        <v>1745</v>
      </c>
      <c r="E61" s="129">
        <f>GETPIVOTDATA("dato",'[1]Turistas por categorías '!$A$4,"categoría","3 *","mes",8,"año",2006)</f>
        <v>24548</v>
      </c>
      <c r="F61" s="129">
        <f>GETPIVOTDATA("dato",'[1]Turistas por categorías '!$A$4,"categoría","4 *","mes",8,"año",2006)</f>
        <v>69388</v>
      </c>
      <c r="G61" s="129">
        <f>GETPIVOTDATA("dato",'[1]Turistas por categorías '!$A$4,"categoría","5 *","mes",8,"año",2006)</f>
        <v>17291</v>
      </c>
      <c r="H61" s="129">
        <f>GETPIVOTDATA("dato",'[1]Turistas por categorías '!$A$4,"categoría","HOTELEROS","mes",8,"año",2006)</f>
        <v>112972</v>
      </c>
      <c r="I61" s="129">
        <f>GETPIVOTDATA("dato",'[1]Turistas por categorías '!$A$4,"categoría","EXTRAHOTELEROS","mes",8,"año",2006)</f>
        <v>69263</v>
      </c>
      <c r="J61" s="129">
        <f>GETPIVOTDATA("dato",'[1]Turistas por categorías '!$A$4,"categoría","TOTAL","mes",8,"año",2006)</f>
        <v>182235</v>
      </c>
    </row>
    <row r="62" spans="3:10" hidden="1" outlineLevel="1">
      <c r="C62" s="51" t="s">
        <v>42</v>
      </c>
      <c r="D62" s="129">
        <f>GETPIVOTDATA("dato",'[1]Turistas por categorías '!$A$4,"categoría","1* Y 2 *","mes",7,"año",2006)</f>
        <v>1334</v>
      </c>
      <c r="E62" s="129">
        <f>GETPIVOTDATA("dato",'[1]Turistas por categorías '!$A$4,"categoría","3 *","mes",7,"año",2006)</f>
        <v>21373</v>
      </c>
      <c r="F62" s="129">
        <f>GETPIVOTDATA("dato",'[1]Turistas por categorías '!$A$4,"categoría","4 *","mes",7,"año",2006)</f>
        <v>67489</v>
      </c>
      <c r="G62" s="129">
        <f>GETPIVOTDATA("dato",'[1]Turistas por categorías '!$A$4,"categoría","5 *","mes",7,"año",2006)</f>
        <v>14011</v>
      </c>
      <c r="H62" s="129">
        <f>GETPIVOTDATA("dato",'[1]Turistas por categorías '!$A$4,"categoría","HOTELEROS","mes",7,"año",2006)</f>
        <v>104207</v>
      </c>
      <c r="I62" s="129">
        <f>GETPIVOTDATA("dato",'[1]Turistas por categorías '!$A$4,"categoría","EXTRAHOTELEROS","mes",7,"año",2006)</f>
        <v>63787</v>
      </c>
      <c r="J62" s="129">
        <f>GETPIVOTDATA("dato",'[1]Turistas por categorías '!$A$4,"categoría","TOTAL","mes",7,"año",2006)</f>
        <v>167994</v>
      </c>
    </row>
    <row r="63" spans="3:10" hidden="1" outlineLevel="1">
      <c r="C63" s="51" t="s">
        <v>43</v>
      </c>
      <c r="D63" s="129">
        <f>GETPIVOTDATA("dato",'[1]Turistas por categorías '!$A$4,"categoría","1* Y 2 *","mes",6,"año",2006)</f>
        <v>1369</v>
      </c>
      <c r="E63" s="129">
        <f>GETPIVOTDATA("dato",'[1]Turistas por categorías '!$A$4,"categoría","3 *","mes",6,"año",2006)</f>
        <v>18319</v>
      </c>
      <c r="F63" s="129">
        <f>GETPIVOTDATA("dato",'[1]Turistas por categorías '!$A$4,"categoría","4 *","mes",6,"año",2006)</f>
        <v>62884</v>
      </c>
      <c r="G63" s="129">
        <f>GETPIVOTDATA("dato",'[1]Turistas por categorías '!$A$4,"categoría","5 *","mes",6,"año",2006)</f>
        <v>12891</v>
      </c>
      <c r="H63" s="129">
        <f>GETPIVOTDATA("dato",'[1]Turistas por categorías '!$A$4,"categoría","HOTELEROS","mes",6,"año",2006)</f>
        <v>95463</v>
      </c>
      <c r="I63" s="129">
        <f>GETPIVOTDATA("dato",'[1]Turistas por categorías '!$A$4,"categoría","EXTRAHOTELEROS","mes",6,"año",2006)</f>
        <v>55579</v>
      </c>
      <c r="J63" s="129">
        <f>GETPIVOTDATA("dato",'[1]Turistas por categorías '!$A$4,"categoría","TOTAL","mes",6,"año",2006)</f>
        <v>151042</v>
      </c>
    </row>
    <row r="64" spans="3:10" hidden="1" outlineLevel="1">
      <c r="C64" s="51" t="s">
        <v>44</v>
      </c>
      <c r="D64" s="129">
        <f>GETPIVOTDATA("dato",'[1]Turistas por categorías '!$A$4,"categoría","1* Y 2 *","mes",5,"año",2006)</f>
        <v>1348</v>
      </c>
      <c r="E64" s="129">
        <f>GETPIVOTDATA("dato",'[1]Turistas por categorías '!$A$4,"categoría","3 *","mes",5,"año",2006)</f>
        <v>17242</v>
      </c>
      <c r="F64" s="129">
        <f>GETPIVOTDATA("dato",'[1]Turistas por categorías '!$A$4,"categoría","4 *","mes",5,"año",2006)</f>
        <v>58144</v>
      </c>
      <c r="G64" s="129">
        <f>GETPIVOTDATA("dato",'[1]Turistas por categorías '!$A$4,"categoría","5 *","mes",5,"año",2006)</f>
        <v>12460</v>
      </c>
      <c r="H64" s="129">
        <f>GETPIVOTDATA("dato",'[1]Turistas por categorías '!$A$4,"categoría","HOTELEROS","mes",5,"año",2006)</f>
        <v>89194</v>
      </c>
      <c r="I64" s="129">
        <f>GETPIVOTDATA("dato",'[1]Turistas por categorías '!$A$4,"categoría","EXTRAHOTELEROS","mes",5,"año",2006)</f>
        <v>43124</v>
      </c>
      <c r="J64" s="129">
        <f>GETPIVOTDATA("dato",'[1]Turistas por categorías '!$A$4,"categoría","TOTAL","mes",5,"año",2006)</f>
        <v>132318</v>
      </c>
    </row>
    <row r="65" spans="3:10" hidden="1" outlineLevel="1">
      <c r="C65" s="51" t="s">
        <v>45</v>
      </c>
      <c r="D65" s="129">
        <f>GETPIVOTDATA("dato",'[1]Turistas por categorías '!$A$4,"categoría","1* Y 2 *","mes",4,"año",2006)</f>
        <v>1530</v>
      </c>
      <c r="E65" s="129">
        <f>GETPIVOTDATA("dato",'[1]Turistas por categorías '!$A$4,"categoría","3 *","mes",4,"año",2006)</f>
        <v>22717</v>
      </c>
      <c r="F65" s="129">
        <f>GETPIVOTDATA("dato",'[1]Turistas por categorías '!$A$4,"categoría","4 *","mes",4,"año",2006)</f>
        <v>72098</v>
      </c>
      <c r="G65" s="129">
        <f>GETPIVOTDATA("dato",'[1]Turistas por categorías '!$A$4,"categoría","5 *","mes",4,"año",2006)</f>
        <v>16852</v>
      </c>
      <c r="H65" s="129">
        <f>GETPIVOTDATA("dato",'[1]Turistas por categorías '!$A$4,"categoría","HOTELEROS","mes",4,"año",2006)</f>
        <v>113197</v>
      </c>
      <c r="I65" s="129">
        <f>GETPIVOTDATA("dato",'[1]Turistas por categorías '!$A$4,"categoría","EXTRAHOTELEROS","mes",4,"año",2006)</f>
        <v>60845</v>
      </c>
      <c r="J65" s="129">
        <f>GETPIVOTDATA("dato",'[1]Turistas por categorías '!$A$4,"categoría","TOTAL","mes",4,"año",2006)</f>
        <v>174042</v>
      </c>
    </row>
    <row r="66" spans="3:10" hidden="1" outlineLevel="1">
      <c r="C66" s="51" t="s">
        <v>46</v>
      </c>
      <c r="D66" s="129">
        <f>GETPIVOTDATA("dato",'[1]Turistas por categorías '!$A$4,"categoría","1* Y 2 *","mes",3,"año",2006)</f>
        <v>1785</v>
      </c>
      <c r="E66" s="129">
        <f>GETPIVOTDATA("dato",'[1]Turistas por categorías '!$A$4,"categoría","3 *","mes",3,"año",2006)</f>
        <v>20411</v>
      </c>
      <c r="F66" s="129">
        <f>GETPIVOTDATA("dato",'[1]Turistas por categorías '!$A$4,"categoría","4 *","mes",3,"año",2006)</f>
        <v>65216</v>
      </c>
      <c r="G66" s="129">
        <f>GETPIVOTDATA("dato",'[1]Turistas por categorías '!$A$4,"categoría","5 *","mes",3,"año",2006)</f>
        <v>15734</v>
      </c>
      <c r="H66" s="129">
        <f>GETPIVOTDATA("dato",'[1]Turistas por categorías '!$A$4,"categoría","HOTELEROS","mes",3,"año",2006)</f>
        <v>103146</v>
      </c>
      <c r="I66" s="129">
        <f>GETPIVOTDATA("dato",'[1]Turistas por categorías '!$A$4,"categoría","EXTRAHOTELEROS","mes",3,"año",2006)</f>
        <v>64603</v>
      </c>
      <c r="J66" s="129">
        <f>GETPIVOTDATA("dato",'[1]Turistas por categorías '!$A$4,"categoría","TOTAL","mes",3,"año",2006)</f>
        <v>167749</v>
      </c>
    </row>
    <row r="67" spans="3:10" hidden="1" outlineLevel="1">
      <c r="C67" s="51" t="s">
        <v>47</v>
      </c>
      <c r="D67" s="129">
        <f>GETPIVOTDATA("dato",'[1]Turistas por categorías '!$A$4,"categoría","1* Y 2 *","mes",2,"año",2006)</f>
        <v>1752</v>
      </c>
      <c r="E67" s="129">
        <f>GETPIVOTDATA("dato",'[1]Turistas por categorías '!$A$4,"categoría","3 *","mes",2,"año",2006)</f>
        <v>19754</v>
      </c>
      <c r="F67" s="129">
        <f>GETPIVOTDATA("dato",'[1]Turistas por categorías '!$A$4,"categoría","4 *","mes",2,"año",2006)</f>
        <v>56422</v>
      </c>
      <c r="G67" s="129">
        <f>GETPIVOTDATA("dato",'[1]Turistas por categorías '!$A$4,"categoría","5 *","mes",2,"año",2006)</f>
        <v>14377</v>
      </c>
      <c r="H67" s="129">
        <f>GETPIVOTDATA("dato",'[1]Turistas por categorías '!$A$4,"categoría","HOTELEROS","mes",2,"año",2006)</f>
        <v>92305</v>
      </c>
      <c r="I67" s="129">
        <f>GETPIVOTDATA("dato",'[1]Turistas por categorías '!$A$4,"categoría","EXTRAHOTELEROS","mes",2,"año",2006)</f>
        <v>58440</v>
      </c>
      <c r="J67" s="129">
        <f>GETPIVOTDATA("dato",'[1]Turistas por categorías '!$A$4,"categoría","TOTAL","mes",2,"año",2006)</f>
        <v>150745</v>
      </c>
    </row>
    <row r="68" spans="3:10" hidden="1" outlineLevel="1">
      <c r="C68" s="51" t="s">
        <v>48</v>
      </c>
      <c r="D68" s="129">
        <f>GETPIVOTDATA("dato",'[1]Turistas por categorías '!$A$4,"categoría","1* Y 2 *","mes",1,"año",2006)</f>
        <v>1958</v>
      </c>
      <c r="E68" s="129">
        <f>GETPIVOTDATA("dato",'[1]Turistas por categorías '!$A$4,"categoría","3 *","mes",1,"año",2006)</f>
        <v>20533</v>
      </c>
      <c r="F68" s="129">
        <f>GETPIVOTDATA("dato",'[1]Turistas por categorías '!$A$4,"categoría","4 *","mes",1,"año",2006)</f>
        <v>61634</v>
      </c>
      <c r="G68" s="129">
        <f>GETPIVOTDATA("dato",'[1]Turistas por categorías '!$A$4,"categoría","5 *","mes",1,"año",2006)</f>
        <v>11549</v>
      </c>
      <c r="H68" s="129">
        <f>GETPIVOTDATA("dato",'[1]Turistas por categorías '!$A$4,"categoría","HOTELEROS","mes",1,"año",2006)</f>
        <v>95674</v>
      </c>
      <c r="I68" s="129">
        <f>GETPIVOTDATA("dato",'[1]Turistas por categorías '!$A$4,"categoría","EXTRAHOTELEROS","mes",1,"año",2006)</f>
        <v>56994</v>
      </c>
      <c r="J68" s="129">
        <f>GETPIVOTDATA("dato",'[1]Turistas por categorías '!$A$4,"categoría","TOTAL","mes",1,"año",2006)</f>
        <v>152668</v>
      </c>
    </row>
    <row r="69" spans="3:10" collapsed="1">
      <c r="C69" s="165">
        <v>2006</v>
      </c>
      <c r="D69" s="135">
        <f>GETPIVOTDATA("dato",'[1]Turistas por categorías '!$A$4,"categoría","1* Y 2 *","año",2006)</f>
        <v>21187</v>
      </c>
      <c r="E69" s="135">
        <f>GETPIVOTDATA("dato",'[1]Turistas por categorías '!$A$4,"categoría","3 *","año",2006)</f>
        <v>242176</v>
      </c>
      <c r="F69" s="135">
        <f>GETPIVOTDATA("dato",'[1]Turistas por categorías '!$A$4,"categoría","4 *","año",2006)</f>
        <v>775718</v>
      </c>
      <c r="G69" s="135">
        <f>GETPIVOTDATA("dato",'[1]Turistas por categorías '!$A$4,"categoría","5 *","año",2006)</f>
        <v>183410</v>
      </c>
      <c r="H69" s="135">
        <f>GETPIVOTDATA("dato",'[1]Turistas por categorías '!$A$4,"categoría","hoteleros","año",2006)</f>
        <v>1222491</v>
      </c>
      <c r="I69" s="135">
        <f>GETPIVOTDATA("dato",'[1]Turistas por categorías '!$A$4,"categoría","extrahoteleros","año",2006)</f>
        <v>708928</v>
      </c>
      <c r="J69" s="135">
        <f>GETPIVOTDATA("dato",'[1]Turistas por categorías '!$A$4,"categoría","total","año",2006)</f>
        <v>1931419</v>
      </c>
    </row>
    <row r="70" spans="3:10">
      <c r="C70" s="166" t="s">
        <v>32</v>
      </c>
      <c r="D70" s="166"/>
      <c r="E70" s="166"/>
      <c r="F70" s="166"/>
      <c r="G70" s="166"/>
      <c r="H70" s="166"/>
      <c r="I70" s="166"/>
      <c r="J70" s="166"/>
    </row>
  </sheetData>
  <mergeCells count="2">
    <mergeCell ref="C3:J3"/>
    <mergeCell ref="C70:J70"/>
  </mergeCells>
  <hyperlinks>
    <hyperlink ref="L4" location="'grafica evolucion por categoria'!A1" tooltip="GRAFICA" display="GRAFICA"/>
    <hyperlink ref="M4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34">
    <tabColor theme="4" tint="-0.499984740745262"/>
    <pageSetUpPr autoPageBreaks="0" fitToPage="1"/>
  </sheetPr>
  <dimension ref="D6:N84"/>
  <sheetViews>
    <sheetView showGridLines="0" showRowColHeaders="0" showOutlineSymbols="0" zoomScaleNormal="100" workbookViewId="0">
      <selection activeCell="B25" sqref="B25"/>
    </sheetView>
  </sheetViews>
  <sheetFormatPr baseColWidth="10" defaultRowHeight="12.75"/>
  <cols>
    <col min="1" max="2" width="11.42578125" style="2"/>
    <col min="3" max="3" width="7.42578125" style="2" customWidth="1"/>
    <col min="4" max="5" width="10.7109375" style="2" customWidth="1"/>
    <col min="6" max="6" width="73.85546875" style="2" bestFit="1" customWidth="1"/>
    <col min="7" max="7" width="10.7109375" style="2" customWidth="1"/>
    <col min="8" max="258" width="11.42578125" style="2"/>
    <col min="259" max="259" width="7.42578125" style="2" customWidth="1"/>
    <col min="260" max="261" width="10.7109375" style="2" customWidth="1"/>
    <col min="262" max="262" width="73.85546875" style="2" bestFit="1" customWidth="1"/>
    <col min="263" max="263" width="10.7109375" style="2" customWidth="1"/>
    <col min="264" max="514" width="11.42578125" style="2"/>
    <col min="515" max="515" width="7.42578125" style="2" customWidth="1"/>
    <col min="516" max="517" width="10.7109375" style="2" customWidth="1"/>
    <col min="518" max="518" width="73.85546875" style="2" bestFit="1" customWidth="1"/>
    <col min="519" max="519" width="10.7109375" style="2" customWidth="1"/>
    <col min="520" max="770" width="11.42578125" style="2"/>
    <col min="771" max="771" width="7.42578125" style="2" customWidth="1"/>
    <col min="772" max="773" width="10.7109375" style="2" customWidth="1"/>
    <col min="774" max="774" width="73.85546875" style="2" bestFit="1" customWidth="1"/>
    <col min="775" max="775" width="10.7109375" style="2" customWidth="1"/>
    <col min="776" max="1026" width="11.42578125" style="2"/>
    <col min="1027" max="1027" width="7.42578125" style="2" customWidth="1"/>
    <col min="1028" max="1029" width="10.7109375" style="2" customWidth="1"/>
    <col min="1030" max="1030" width="73.85546875" style="2" bestFit="1" customWidth="1"/>
    <col min="1031" max="1031" width="10.7109375" style="2" customWidth="1"/>
    <col min="1032" max="1282" width="11.42578125" style="2"/>
    <col min="1283" max="1283" width="7.42578125" style="2" customWidth="1"/>
    <col min="1284" max="1285" width="10.7109375" style="2" customWidth="1"/>
    <col min="1286" max="1286" width="73.85546875" style="2" bestFit="1" customWidth="1"/>
    <col min="1287" max="1287" width="10.7109375" style="2" customWidth="1"/>
    <col min="1288" max="1538" width="11.42578125" style="2"/>
    <col min="1539" max="1539" width="7.42578125" style="2" customWidth="1"/>
    <col min="1540" max="1541" width="10.7109375" style="2" customWidth="1"/>
    <col min="1542" max="1542" width="73.85546875" style="2" bestFit="1" customWidth="1"/>
    <col min="1543" max="1543" width="10.7109375" style="2" customWidth="1"/>
    <col min="1544" max="1794" width="11.42578125" style="2"/>
    <col min="1795" max="1795" width="7.42578125" style="2" customWidth="1"/>
    <col min="1796" max="1797" width="10.7109375" style="2" customWidth="1"/>
    <col min="1798" max="1798" width="73.85546875" style="2" bestFit="1" customWidth="1"/>
    <col min="1799" max="1799" width="10.7109375" style="2" customWidth="1"/>
    <col min="1800" max="2050" width="11.42578125" style="2"/>
    <col min="2051" max="2051" width="7.42578125" style="2" customWidth="1"/>
    <col min="2052" max="2053" width="10.7109375" style="2" customWidth="1"/>
    <col min="2054" max="2054" width="73.85546875" style="2" bestFit="1" customWidth="1"/>
    <col min="2055" max="2055" width="10.7109375" style="2" customWidth="1"/>
    <col min="2056" max="2306" width="11.42578125" style="2"/>
    <col min="2307" max="2307" width="7.42578125" style="2" customWidth="1"/>
    <col min="2308" max="2309" width="10.7109375" style="2" customWidth="1"/>
    <col min="2310" max="2310" width="73.85546875" style="2" bestFit="1" customWidth="1"/>
    <col min="2311" max="2311" width="10.7109375" style="2" customWidth="1"/>
    <col min="2312" max="2562" width="11.42578125" style="2"/>
    <col min="2563" max="2563" width="7.42578125" style="2" customWidth="1"/>
    <col min="2564" max="2565" width="10.7109375" style="2" customWidth="1"/>
    <col min="2566" max="2566" width="73.85546875" style="2" bestFit="1" customWidth="1"/>
    <col min="2567" max="2567" width="10.7109375" style="2" customWidth="1"/>
    <col min="2568" max="2818" width="11.42578125" style="2"/>
    <col min="2819" max="2819" width="7.42578125" style="2" customWidth="1"/>
    <col min="2820" max="2821" width="10.7109375" style="2" customWidth="1"/>
    <col min="2822" max="2822" width="73.85546875" style="2" bestFit="1" customWidth="1"/>
    <col min="2823" max="2823" width="10.7109375" style="2" customWidth="1"/>
    <col min="2824" max="3074" width="11.42578125" style="2"/>
    <col min="3075" max="3075" width="7.42578125" style="2" customWidth="1"/>
    <col min="3076" max="3077" width="10.7109375" style="2" customWidth="1"/>
    <col min="3078" max="3078" width="73.85546875" style="2" bestFit="1" customWidth="1"/>
    <col min="3079" max="3079" width="10.7109375" style="2" customWidth="1"/>
    <col min="3080" max="3330" width="11.42578125" style="2"/>
    <col min="3331" max="3331" width="7.42578125" style="2" customWidth="1"/>
    <col min="3332" max="3333" width="10.7109375" style="2" customWidth="1"/>
    <col min="3334" max="3334" width="73.85546875" style="2" bestFit="1" customWidth="1"/>
    <col min="3335" max="3335" width="10.7109375" style="2" customWidth="1"/>
    <col min="3336" max="3586" width="11.42578125" style="2"/>
    <col min="3587" max="3587" width="7.42578125" style="2" customWidth="1"/>
    <col min="3588" max="3589" width="10.7109375" style="2" customWidth="1"/>
    <col min="3590" max="3590" width="73.85546875" style="2" bestFit="1" customWidth="1"/>
    <col min="3591" max="3591" width="10.7109375" style="2" customWidth="1"/>
    <col min="3592" max="3842" width="11.42578125" style="2"/>
    <col min="3843" max="3843" width="7.42578125" style="2" customWidth="1"/>
    <col min="3844" max="3845" width="10.7109375" style="2" customWidth="1"/>
    <col min="3846" max="3846" width="73.85546875" style="2" bestFit="1" customWidth="1"/>
    <col min="3847" max="3847" width="10.7109375" style="2" customWidth="1"/>
    <col min="3848" max="4098" width="11.42578125" style="2"/>
    <col min="4099" max="4099" width="7.42578125" style="2" customWidth="1"/>
    <col min="4100" max="4101" width="10.7109375" style="2" customWidth="1"/>
    <col min="4102" max="4102" width="73.85546875" style="2" bestFit="1" customWidth="1"/>
    <col min="4103" max="4103" width="10.7109375" style="2" customWidth="1"/>
    <col min="4104" max="4354" width="11.42578125" style="2"/>
    <col min="4355" max="4355" width="7.42578125" style="2" customWidth="1"/>
    <col min="4356" max="4357" width="10.7109375" style="2" customWidth="1"/>
    <col min="4358" max="4358" width="73.85546875" style="2" bestFit="1" customWidth="1"/>
    <col min="4359" max="4359" width="10.7109375" style="2" customWidth="1"/>
    <col min="4360" max="4610" width="11.42578125" style="2"/>
    <col min="4611" max="4611" width="7.42578125" style="2" customWidth="1"/>
    <col min="4612" max="4613" width="10.7109375" style="2" customWidth="1"/>
    <col min="4614" max="4614" width="73.85546875" style="2" bestFit="1" customWidth="1"/>
    <col min="4615" max="4615" width="10.7109375" style="2" customWidth="1"/>
    <col min="4616" max="4866" width="11.42578125" style="2"/>
    <col min="4867" max="4867" width="7.42578125" style="2" customWidth="1"/>
    <col min="4868" max="4869" width="10.7109375" style="2" customWidth="1"/>
    <col min="4870" max="4870" width="73.85546875" style="2" bestFit="1" customWidth="1"/>
    <col min="4871" max="4871" width="10.7109375" style="2" customWidth="1"/>
    <col min="4872" max="5122" width="11.42578125" style="2"/>
    <col min="5123" max="5123" width="7.42578125" style="2" customWidth="1"/>
    <col min="5124" max="5125" width="10.7109375" style="2" customWidth="1"/>
    <col min="5126" max="5126" width="73.85546875" style="2" bestFit="1" customWidth="1"/>
    <col min="5127" max="5127" width="10.7109375" style="2" customWidth="1"/>
    <col min="5128" max="5378" width="11.42578125" style="2"/>
    <col min="5379" max="5379" width="7.42578125" style="2" customWidth="1"/>
    <col min="5380" max="5381" width="10.7109375" style="2" customWidth="1"/>
    <col min="5382" max="5382" width="73.85546875" style="2" bestFit="1" customWidth="1"/>
    <col min="5383" max="5383" width="10.7109375" style="2" customWidth="1"/>
    <col min="5384" max="5634" width="11.42578125" style="2"/>
    <col min="5635" max="5635" width="7.42578125" style="2" customWidth="1"/>
    <col min="5636" max="5637" width="10.7109375" style="2" customWidth="1"/>
    <col min="5638" max="5638" width="73.85546875" style="2" bestFit="1" customWidth="1"/>
    <col min="5639" max="5639" width="10.7109375" style="2" customWidth="1"/>
    <col min="5640" max="5890" width="11.42578125" style="2"/>
    <col min="5891" max="5891" width="7.42578125" style="2" customWidth="1"/>
    <col min="5892" max="5893" width="10.7109375" style="2" customWidth="1"/>
    <col min="5894" max="5894" width="73.85546875" style="2" bestFit="1" customWidth="1"/>
    <col min="5895" max="5895" width="10.7109375" style="2" customWidth="1"/>
    <col min="5896" max="6146" width="11.42578125" style="2"/>
    <col min="6147" max="6147" width="7.42578125" style="2" customWidth="1"/>
    <col min="6148" max="6149" width="10.7109375" style="2" customWidth="1"/>
    <col min="6150" max="6150" width="73.85546875" style="2" bestFit="1" customWidth="1"/>
    <col min="6151" max="6151" width="10.7109375" style="2" customWidth="1"/>
    <col min="6152" max="6402" width="11.42578125" style="2"/>
    <col min="6403" max="6403" width="7.42578125" style="2" customWidth="1"/>
    <col min="6404" max="6405" width="10.7109375" style="2" customWidth="1"/>
    <col min="6406" max="6406" width="73.85546875" style="2" bestFit="1" customWidth="1"/>
    <col min="6407" max="6407" width="10.7109375" style="2" customWidth="1"/>
    <col min="6408" max="6658" width="11.42578125" style="2"/>
    <col min="6659" max="6659" width="7.42578125" style="2" customWidth="1"/>
    <col min="6660" max="6661" width="10.7109375" style="2" customWidth="1"/>
    <col min="6662" max="6662" width="73.85546875" style="2" bestFit="1" customWidth="1"/>
    <col min="6663" max="6663" width="10.7109375" style="2" customWidth="1"/>
    <col min="6664" max="6914" width="11.42578125" style="2"/>
    <col min="6915" max="6915" width="7.42578125" style="2" customWidth="1"/>
    <col min="6916" max="6917" width="10.7109375" style="2" customWidth="1"/>
    <col min="6918" max="6918" width="73.85546875" style="2" bestFit="1" customWidth="1"/>
    <col min="6919" max="6919" width="10.7109375" style="2" customWidth="1"/>
    <col min="6920" max="7170" width="11.42578125" style="2"/>
    <col min="7171" max="7171" width="7.42578125" style="2" customWidth="1"/>
    <col min="7172" max="7173" width="10.7109375" style="2" customWidth="1"/>
    <col min="7174" max="7174" width="73.85546875" style="2" bestFit="1" customWidth="1"/>
    <col min="7175" max="7175" width="10.7109375" style="2" customWidth="1"/>
    <col min="7176" max="7426" width="11.42578125" style="2"/>
    <col min="7427" max="7427" width="7.42578125" style="2" customWidth="1"/>
    <col min="7428" max="7429" width="10.7109375" style="2" customWidth="1"/>
    <col min="7430" max="7430" width="73.85546875" style="2" bestFit="1" customWidth="1"/>
    <col min="7431" max="7431" width="10.7109375" style="2" customWidth="1"/>
    <col min="7432" max="7682" width="11.42578125" style="2"/>
    <col min="7683" max="7683" width="7.42578125" style="2" customWidth="1"/>
    <col min="7684" max="7685" width="10.7109375" style="2" customWidth="1"/>
    <col min="7686" max="7686" width="73.85546875" style="2" bestFit="1" customWidth="1"/>
    <col min="7687" max="7687" width="10.7109375" style="2" customWidth="1"/>
    <col min="7688" max="7938" width="11.42578125" style="2"/>
    <col min="7939" max="7939" width="7.42578125" style="2" customWidth="1"/>
    <col min="7940" max="7941" width="10.7109375" style="2" customWidth="1"/>
    <col min="7942" max="7942" width="73.85546875" style="2" bestFit="1" customWidth="1"/>
    <col min="7943" max="7943" width="10.7109375" style="2" customWidth="1"/>
    <col min="7944" max="8194" width="11.42578125" style="2"/>
    <col min="8195" max="8195" width="7.42578125" style="2" customWidth="1"/>
    <col min="8196" max="8197" width="10.7109375" style="2" customWidth="1"/>
    <col min="8198" max="8198" width="73.85546875" style="2" bestFit="1" customWidth="1"/>
    <col min="8199" max="8199" width="10.7109375" style="2" customWidth="1"/>
    <col min="8200" max="8450" width="11.42578125" style="2"/>
    <col min="8451" max="8451" width="7.42578125" style="2" customWidth="1"/>
    <col min="8452" max="8453" width="10.7109375" style="2" customWidth="1"/>
    <col min="8454" max="8454" width="73.85546875" style="2" bestFit="1" customWidth="1"/>
    <col min="8455" max="8455" width="10.7109375" style="2" customWidth="1"/>
    <col min="8456" max="8706" width="11.42578125" style="2"/>
    <col min="8707" max="8707" width="7.42578125" style="2" customWidth="1"/>
    <col min="8708" max="8709" width="10.7109375" style="2" customWidth="1"/>
    <col min="8710" max="8710" width="73.85546875" style="2" bestFit="1" customWidth="1"/>
    <col min="8711" max="8711" width="10.7109375" style="2" customWidth="1"/>
    <col min="8712" max="8962" width="11.42578125" style="2"/>
    <col min="8963" max="8963" width="7.42578125" style="2" customWidth="1"/>
    <col min="8964" max="8965" width="10.7109375" style="2" customWidth="1"/>
    <col min="8966" max="8966" width="73.85546875" style="2" bestFit="1" customWidth="1"/>
    <col min="8967" max="8967" width="10.7109375" style="2" customWidth="1"/>
    <col min="8968" max="9218" width="11.42578125" style="2"/>
    <col min="9219" max="9219" width="7.42578125" style="2" customWidth="1"/>
    <col min="9220" max="9221" width="10.7109375" style="2" customWidth="1"/>
    <col min="9222" max="9222" width="73.85546875" style="2" bestFit="1" customWidth="1"/>
    <col min="9223" max="9223" width="10.7109375" style="2" customWidth="1"/>
    <col min="9224" max="9474" width="11.42578125" style="2"/>
    <col min="9475" max="9475" width="7.42578125" style="2" customWidth="1"/>
    <col min="9476" max="9477" width="10.7109375" style="2" customWidth="1"/>
    <col min="9478" max="9478" width="73.85546875" style="2" bestFit="1" customWidth="1"/>
    <col min="9479" max="9479" width="10.7109375" style="2" customWidth="1"/>
    <col min="9480" max="9730" width="11.42578125" style="2"/>
    <col min="9731" max="9731" width="7.42578125" style="2" customWidth="1"/>
    <col min="9732" max="9733" width="10.7109375" style="2" customWidth="1"/>
    <col min="9734" max="9734" width="73.85546875" style="2" bestFit="1" customWidth="1"/>
    <col min="9735" max="9735" width="10.7109375" style="2" customWidth="1"/>
    <col min="9736" max="9986" width="11.42578125" style="2"/>
    <col min="9987" max="9987" width="7.42578125" style="2" customWidth="1"/>
    <col min="9988" max="9989" width="10.7109375" style="2" customWidth="1"/>
    <col min="9990" max="9990" width="73.85546875" style="2" bestFit="1" customWidth="1"/>
    <col min="9991" max="9991" width="10.7109375" style="2" customWidth="1"/>
    <col min="9992" max="10242" width="11.42578125" style="2"/>
    <col min="10243" max="10243" width="7.42578125" style="2" customWidth="1"/>
    <col min="10244" max="10245" width="10.7109375" style="2" customWidth="1"/>
    <col min="10246" max="10246" width="73.85546875" style="2" bestFit="1" customWidth="1"/>
    <col min="10247" max="10247" width="10.7109375" style="2" customWidth="1"/>
    <col min="10248" max="10498" width="11.42578125" style="2"/>
    <col min="10499" max="10499" width="7.42578125" style="2" customWidth="1"/>
    <col min="10500" max="10501" width="10.7109375" style="2" customWidth="1"/>
    <col min="10502" max="10502" width="73.85546875" style="2" bestFit="1" customWidth="1"/>
    <col min="10503" max="10503" width="10.7109375" style="2" customWidth="1"/>
    <col min="10504" max="10754" width="11.42578125" style="2"/>
    <col min="10755" max="10755" width="7.42578125" style="2" customWidth="1"/>
    <col min="10756" max="10757" width="10.7109375" style="2" customWidth="1"/>
    <col min="10758" max="10758" width="73.85546875" style="2" bestFit="1" customWidth="1"/>
    <col min="10759" max="10759" width="10.7109375" style="2" customWidth="1"/>
    <col min="10760" max="11010" width="11.42578125" style="2"/>
    <col min="11011" max="11011" width="7.42578125" style="2" customWidth="1"/>
    <col min="11012" max="11013" width="10.7109375" style="2" customWidth="1"/>
    <col min="11014" max="11014" width="73.85546875" style="2" bestFit="1" customWidth="1"/>
    <col min="11015" max="11015" width="10.7109375" style="2" customWidth="1"/>
    <col min="11016" max="11266" width="11.42578125" style="2"/>
    <col min="11267" max="11267" width="7.42578125" style="2" customWidth="1"/>
    <col min="11268" max="11269" width="10.7109375" style="2" customWidth="1"/>
    <col min="11270" max="11270" width="73.85546875" style="2" bestFit="1" customWidth="1"/>
    <col min="11271" max="11271" width="10.7109375" style="2" customWidth="1"/>
    <col min="11272" max="11522" width="11.42578125" style="2"/>
    <col min="11523" max="11523" width="7.42578125" style="2" customWidth="1"/>
    <col min="11524" max="11525" width="10.7109375" style="2" customWidth="1"/>
    <col min="11526" max="11526" width="73.85546875" style="2" bestFit="1" customWidth="1"/>
    <col min="11527" max="11527" width="10.7109375" style="2" customWidth="1"/>
    <col min="11528" max="11778" width="11.42578125" style="2"/>
    <col min="11779" max="11779" width="7.42578125" style="2" customWidth="1"/>
    <col min="11780" max="11781" width="10.7109375" style="2" customWidth="1"/>
    <col min="11782" max="11782" width="73.85546875" style="2" bestFit="1" customWidth="1"/>
    <col min="11783" max="11783" width="10.7109375" style="2" customWidth="1"/>
    <col min="11784" max="12034" width="11.42578125" style="2"/>
    <col min="12035" max="12035" width="7.42578125" style="2" customWidth="1"/>
    <col min="12036" max="12037" width="10.7109375" style="2" customWidth="1"/>
    <col min="12038" max="12038" width="73.85546875" style="2" bestFit="1" customWidth="1"/>
    <col min="12039" max="12039" width="10.7109375" style="2" customWidth="1"/>
    <col min="12040" max="12290" width="11.42578125" style="2"/>
    <col min="12291" max="12291" width="7.42578125" style="2" customWidth="1"/>
    <col min="12292" max="12293" width="10.7109375" style="2" customWidth="1"/>
    <col min="12294" max="12294" width="73.85546875" style="2" bestFit="1" customWidth="1"/>
    <col min="12295" max="12295" width="10.7109375" style="2" customWidth="1"/>
    <col min="12296" max="12546" width="11.42578125" style="2"/>
    <col min="12547" max="12547" width="7.42578125" style="2" customWidth="1"/>
    <col min="12548" max="12549" width="10.7109375" style="2" customWidth="1"/>
    <col min="12550" max="12550" width="73.85546875" style="2" bestFit="1" customWidth="1"/>
    <col min="12551" max="12551" width="10.7109375" style="2" customWidth="1"/>
    <col min="12552" max="12802" width="11.42578125" style="2"/>
    <col min="12803" max="12803" width="7.42578125" style="2" customWidth="1"/>
    <col min="12804" max="12805" width="10.7109375" style="2" customWidth="1"/>
    <col min="12806" max="12806" width="73.85546875" style="2" bestFit="1" customWidth="1"/>
    <col min="12807" max="12807" width="10.7109375" style="2" customWidth="1"/>
    <col min="12808" max="13058" width="11.42578125" style="2"/>
    <col min="13059" max="13059" width="7.42578125" style="2" customWidth="1"/>
    <col min="13060" max="13061" width="10.7109375" style="2" customWidth="1"/>
    <col min="13062" max="13062" width="73.85546875" style="2" bestFit="1" customWidth="1"/>
    <col min="13063" max="13063" width="10.7109375" style="2" customWidth="1"/>
    <col min="13064" max="13314" width="11.42578125" style="2"/>
    <col min="13315" max="13315" width="7.42578125" style="2" customWidth="1"/>
    <col min="13316" max="13317" width="10.7109375" style="2" customWidth="1"/>
    <col min="13318" max="13318" width="73.85546875" style="2" bestFit="1" customWidth="1"/>
    <col min="13319" max="13319" width="10.7109375" style="2" customWidth="1"/>
    <col min="13320" max="13570" width="11.42578125" style="2"/>
    <col min="13571" max="13571" width="7.42578125" style="2" customWidth="1"/>
    <col min="13572" max="13573" width="10.7109375" style="2" customWidth="1"/>
    <col min="13574" max="13574" width="73.85546875" style="2" bestFit="1" customWidth="1"/>
    <col min="13575" max="13575" width="10.7109375" style="2" customWidth="1"/>
    <col min="13576" max="13826" width="11.42578125" style="2"/>
    <col min="13827" max="13827" width="7.42578125" style="2" customWidth="1"/>
    <col min="13828" max="13829" width="10.7109375" style="2" customWidth="1"/>
    <col min="13830" max="13830" width="73.85546875" style="2" bestFit="1" customWidth="1"/>
    <col min="13831" max="13831" width="10.7109375" style="2" customWidth="1"/>
    <col min="13832" max="14082" width="11.42578125" style="2"/>
    <col min="14083" max="14083" width="7.42578125" style="2" customWidth="1"/>
    <col min="14084" max="14085" width="10.7109375" style="2" customWidth="1"/>
    <col min="14086" max="14086" width="73.85546875" style="2" bestFit="1" customWidth="1"/>
    <col min="14087" max="14087" width="10.7109375" style="2" customWidth="1"/>
    <col min="14088" max="14338" width="11.42578125" style="2"/>
    <col min="14339" max="14339" width="7.42578125" style="2" customWidth="1"/>
    <col min="14340" max="14341" width="10.7109375" style="2" customWidth="1"/>
    <col min="14342" max="14342" width="73.85546875" style="2" bestFit="1" customWidth="1"/>
    <col min="14343" max="14343" width="10.7109375" style="2" customWidth="1"/>
    <col min="14344" max="14594" width="11.42578125" style="2"/>
    <col min="14595" max="14595" width="7.42578125" style="2" customWidth="1"/>
    <col min="14596" max="14597" width="10.7109375" style="2" customWidth="1"/>
    <col min="14598" max="14598" width="73.85546875" style="2" bestFit="1" customWidth="1"/>
    <col min="14599" max="14599" width="10.7109375" style="2" customWidth="1"/>
    <col min="14600" max="14850" width="11.42578125" style="2"/>
    <col min="14851" max="14851" width="7.42578125" style="2" customWidth="1"/>
    <col min="14852" max="14853" width="10.7109375" style="2" customWidth="1"/>
    <col min="14854" max="14854" width="73.85546875" style="2" bestFit="1" customWidth="1"/>
    <col min="14855" max="14855" width="10.7109375" style="2" customWidth="1"/>
    <col min="14856" max="15106" width="11.42578125" style="2"/>
    <col min="15107" max="15107" width="7.42578125" style="2" customWidth="1"/>
    <col min="15108" max="15109" width="10.7109375" style="2" customWidth="1"/>
    <col min="15110" max="15110" width="73.85546875" style="2" bestFit="1" customWidth="1"/>
    <col min="15111" max="15111" width="10.7109375" style="2" customWidth="1"/>
    <col min="15112" max="15362" width="11.42578125" style="2"/>
    <col min="15363" max="15363" width="7.42578125" style="2" customWidth="1"/>
    <col min="15364" max="15365" width="10.7109375" style="2" customWidth="1"/>
    <col min="15366" max="15366" width="73.85546875" style="2" bestFit="1" customWidth="1"/>
    <col min="15367" max="15367" width="10.7109375" style="2" customWidth="1"/>
    <col min="15368" max="15618" width="11.42578125" style="2"/>
    <col min="15619" max="15619" width="7.42578125" style="2" customWidth="1"/>
    <col min="15620" max="15621" width="10.7109375" style="2" customWidth="1"/>
    <col min="15622" max="15622" width="73.85546875" style="2" bestFit="1" customWidth="1"/>
    <col min="15623" max="15623" width="10.7109375" style="2" customWidth="1"/>
    <col min="15624" max="15874" width="11.42578125" style="2"/>
    <col min="15875" max="15875" width="7.42578125" style="2" customWidth="1"/>
    <col min="15876" max="15877" width="10.7109375" style="2" customWidth="1"/>
    <col min="15878" max="15878" width="73.85546875" style="2" bestFit="1" customWidth="1"/>
    <col min="15879" max="15879" width="10.7109375" style="2" customWidth="1"/>
    <col min="15880" max="16130" width="11.42578125" style="2"/>
    <col min="16131" max="16131" width="7.42578125" style="2" customWidth="1"/>
    <col min="16132" max="16133" width="10.7109375" style="2" customWidth="1"/>
    <col min="16134" max="16134" width="73.85546875" style="2" bestFit="1" customWidth="1"/>
    <col min="16135" max="16135" width="10.7109375" style="2" customWidth="1"/>
    <col min="16136" max="16384" width="11.42578125" style="2"/>
  </cols>
  <sheetData>
    <row r="6" spans="4:7" ht="30" customHeight="1">
      <c r="D6" s="14" t="s">
        <v>9</v>
      </c>
      <c r="E6" s="14"/>
      <c r="F6" s="14"/>
      <c r="G6" s="14"/>
    </row>
    <row r="7" spans="4:7" ht="15" customHeight="1">
      <c r="D7" s="15"/>
      <c r="E7" s="1"/>
      <c r="F7" s="1"/>
      <c r="G7" s="1"/>
    </row>
    <row r="8" spans="4:7" ht="24.95" customHeight="1">
      <c r="D8" s="1"/>
      <c r="E8" s="16" t="s">
        <v>10</v>
      </c>
      <c r="F8" s="6"/>
      <c r="G8" s="6"/>
    </row>
    <row r="9" spans="4:7" ht="15" customHeight="1">
      <c r="D9" s="1"/>
      <c r="E9" s="1"/>
      <c r="F9" s="17"/>
      <c r="G9" s="1"/>
    </row>
    <row r="10" spans="4:7" ht="15" customHeight="1">
      <c r="D10" s="1"/>
      <c r="E10" s="1"/>
      <c r="F10" s="18" t="s">
        <v>11</v>
      </c>
      <c r="G10" s="1"/>
    </row>
    <row r="11" spans="4:7" ht="20.100000000000001" customHeight="1">
      <c r="D11" s="1"/>
      <c r="E11" s="1"/>
      <c r="F11" s="18" t="s">
        <v>12</v>
      </c>
      <c r="G11" s="1"/>
    </row>
    <row r="12" spans="4:7" ht="20.100000000000001" customHeight="1">
      <c r="D12" s="1"/>
      <c r="E12" s="1"/>
      <c r="F12" s="18" t="s">
        <v>13</v>
      </c>
      <c r="G12" s="1"/>
    </row>
    <row r="13" spans="4:7" ht="20.100000000000001" customHeight="1">
      <c r="D13" s="1"/>
      <c r="E13" s="1"/>
      <c r="F13" s="18" t="s">
        <v>14</v>
      </c>
      <c r="G13" s="1"/>
    </row>
    <row r="14" spans="4:7" ht="20.100000000000001" customHeight="1">
      <c r="D14" s="1"/>
      <c r="E14" s="1"/>
      <c r="F14" s="19" t="s">
        <v>15</v>
      </c>
      <c r="G14" s="1"/>
    </row>
    <row r="15" spans="4:7" ht="20.100000000000001" customHeight="1">
      <c r="D15" s="1"/>
      <c r="E15" s="1"/>
      <c r="F15" s="19" t="s">
        <v>16</v>
      </c>
      <c r="G15" s="1"/>
    </row>
    <row r="16" spans="4:7" ht="20.100000000000001" customHeight="1">
      <c r="D16" s="1"/>
      <c r="E16" s="1"/>
      <c r="F16" s="17"/>
      <c r="G16" s="1"/>
    </row>
    <row r="17" spans="4:7" ht="20.100000000000001" customHeight="1">
      <c r="D17" s="1"/>
      <c r="E17" s="16" t="s">
        <v>17</v>
      </c>
      <c r="F17" s="6"/>
      <c r="G17" s="6"/>
    </row>
    <row r="18" spans="4:7" ht="20.100000000000001" customHeight="1">
      <c r="D18" s="1"/>
      <c r="E18" s="1"/>
      <c r="F18" s="17"/>
      <c r="G18" s="1"/>
    </row>
    <row r="19" spans="4:7" ht="20.100000000000001" customHeight="1">
      <c r="D19" s="1"/>
      <c r="E19" s="1"/>
      <c r="F19" s="19" t="s">
        <v>18</v>
      </c>
      <c r="G19" s="1"/>
    </row>
    <row r="20" spans="4:7" ht="20.100000000000001" customHeight="1">
      <c r="D20" s="1"/>
      <c r="E20" s="1"/>
      <c r="F20" s="20"/>
      <c r="G20" s="1"/>
    </row>
    <row r="21" spans="4:7" ht="15" customHeight="1">
      <c r="D21" s="21"/>
    </row>
    <row r="22" spans="4:7" ht="15" customHeight="1">
      <c r="D22" s="11" t="s">
        <v>8</v>
      </c>
      <c r="E22" s="11"/>
      <c r="F22" s="11"/>
      <c r="G22" s="11"/>
    </row>
    <row r="23" spans="4:7" ht="24.95" customHeight="1">
      <c r="D23" s="12"/>
      <c r="E23" s="12"/>
      <c r="F23" s="12"/>
      <c r="G23" s="12"/>
    </row>
    <row r="24" spans="4:7" ht="15" customHeight="1"/>
    <row r="25" spans="4:7" ht="15" customHeight="1"/>
    <row r="26" spans="4:7" ht="20.100000000000001" customHeight="1">
      <c r="E26" s="22"/>
      <c r="F26" s="23"/>
    </row>
    <row r="27" spans="4:7" ht="20.100000000000001" hidden="1" customHeight="1"/>
    <row r="28" spans="4:7" ht="20.100000000000001" customHeight="1">
      <c r="D28" s="21"/>
    </row>
    <row r="29" spans="4:7" ht="20.100000000000001" customHeight="1"/>
    <row r="30" spans="4:7" ht="15" customHeight="1"/>
    <row r="31" spans="4:7" ht="15" customHeight="1"/>
    <row r="32" spans="4:7" ht="15" customHeight="1"/>
    <row r="33" spans="4:14" ht="15" customHeight="1">
      <c r="D33" s="21"/>
      <c r="H33" s="12"/>
      <c r="I33" s="12"/>
      <c r="J33" s="12"/>
      <c r="K33" s="12"/>
      <c r="L33" s="12"/>
      <c r="M33" s="12"/>
      <c r="N33" s="12"/>
    </row>
    <row r="34" spans="4:14" ht="15" customHeight="1"/>
    <row r="35" spans="4:14" ht="20.100000000000001" customHeight="1"/>
    <row r="36" spans="4:14" ht="15" customHeight="1"/>
    <row r="37" spans="4:14" ht="15" customHeight="1"/>
    <row r="38" spans="4:14" ht="15" customHeight="1"/>
    <row r="39" spans="4:14" ht="15" customHeight="1"/>
    <row r="40" spans="4:14" ht="15" customHeight="1"/>
    <row r="41" spans="4:14" ht="15" customHeight="1"/>
    <row r="42" spans="4:14" ht="15" customHeight="1"/>
    <row r="43" spans="4:14" ht="15" customHeight="1"/>
    <row r="44" spans="4:14" ht="15" customHeight="1"/>
    <row r="45" spans="4:14" ht="15" customHeight="1"/>
    <row r="46" spans="4:14" ht="15" customHeight="1"/>
    <row r="47" spans="4:14" ht="15" customHeight="1"/>
    <row r="48" spans="4:14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</sheetData>
  <mergeCells count="2">
    <mergeCell ref="D6:G6"/>
    <mergeCell ref="D22:G22"/>
  </mergeCells>
  <hyperlinks>
    <hyperlink ref="F10" location="'Menú tipología de establecimien'!A1" tooltip="Tipología de establecimiento" display="Tipología de establecimiento"/>
    <hyperlink ref="F11" location="'Menú zonas y tipología'!A1" tooltip="Zonas y tipología de establecimiento" display="Zonas turísticas y tipología de establecimiento"/>
    <hyperlink ref="F12" location="'Menú categoría-tipología'!A1" tooltip="Tipología y categoría de establecimiento" display="Tipología y categoría de los establecimientos"/>
    <hyperlink ref="F13" location="'Menú nacionalidades'!A1" tooltip="Nacionalidad" display="Nacionalidades"/>
    <hyperlink ref="F14" location="'Alojados evol mensual'!A1" tooltip="Evolución mensual " display="Evolución mensual "/>
    <hyperlink ref="F19" location="'Gráfico alojados mensual'!A1" tooltip="Evolución mensual de turistas alojados" display="Evolución mensual de turistas alojados"/>
    <hyperlink ref="F15" location="'tablas turistas por Temporada'!A1" tooltip="Temporada" display="Temporad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B25" sqref="B25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60" t="s">
        <v>51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B25" sqref="B25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60" t="s">
        <v>51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B25" sqref="B25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60" t="s">
        <v>51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2:I57"/>
  <sheetViews>
    <sheetView showGridLines="0" showRowColHeaders="0" zoomScaleNormal="100" workbookViewId="0">
      <selection activeCell="B25" sqref="B25"/>
    </sheetView>
  </sheetViews>
  <sheetFormatPr baseColWidth="10" defaultRowHeight="15" outlineLevelRow="1"/>
  <cols>
    <col min="1" max="1" width="17.7109375" customWidth="1"/>
  </cols>
  <sheetData>
    <row r="2" spans="2:9" ht="45" customHeight="1"/>
    <row r="3" spans="2:9" ht="36.75" customHeight="1">
      <c r="B3" s="160" t="s">
        <v>121</v>
      </c>
      <c r="C3" s="160"/>
      <c r="D3" s="160"/>
      <c r="E3" s="160"/>
      <c r="F3" s="160"/>
      <c r="G3" s="160"/>
      <c r="H3" s="160"/>
      <c r="I3" s="160"/>
    </row>
    <row r="4" spans="2:9" ht="45">
      <c r="B4" s="161"/>
      <c r="C4" s="128" t="s">
        <v>114</v>
      </c>
      <c r="D4" s="128" t="s">
        <v>115</v>
      </c>
      <c r="E4" s="128" t="s">
        <v>116</v>
      </c>
      <c r="F4" s="128" t="s">
        <v>117</v>
      </c>
      <c r="G4" s="162" t="s">
        <v>122</v>
      </c>
      <c r="H4" s="162" t="s">
        <v>35</v>
      </c>
      <c r="I4" s="163" t="s">
        <v>36</v>
      </c>
    </row>
    <row r="5" spans="2:9" hidden="1">
      <c r="B5" s="51" t="s">
        <v>37</v>
      </c>
      <c r="C5" s="167" t="str">
        <f>IFERROR('tablas turistas por categorías '!D5/'tablas turistas por categorías '!D18-1,"-")</f>
        <v>-</v>
      </c>
      <c r="D5" s="167" t="str">
        <f>IFERROR('tablas turistas por categorías '!E5/'tablas turistas por categorías '!E18-1,"-")</f>
        <v>-</v>
      </c>
      <c r="E5" s="167" t="str">
        <f>IFERROR('tablas turistas por categorías '!F5/'tablas turistas por categorías '!F18-1,"-")</f>
        <v>-</v>
      </c>
      <c r="F5" s="167" t="str">
        <f>IFERROR('tablas turistas por categorías '!G5/'tablas turistas por categorías '!G18-1,"-")</f>
        <v>-</v>
      </c>
      <c r="G5" s="167" t="str">
        <f>IFERROR('tablas turistas por categorías '!H5/'tablas turistas por categorías '!H18-1,"-")</f>
        <v>-</v>
      </c>
      <c r="H5" s="167" t="str">
        <f>IFERROR('tablas turistas por categorías '!I5/'tablas turistas por categorías '!I18-1,"-")</f>
        <v>-</v>
      </c>
      <c r="I5" s="167" t="str">
        <f>IFERROR('tablas turistas por categorías '!J5/'tablas turistas por categorías '!J18-1,"-")</f>
        <v>-</v>
      </c>
    </row>
    <row r="6" spans="2:9" hidden="1">
      <c r="B6" s="51" t="s">
        <v>38</v>
      </c>
      <c r="C6" s="167" t="str">
        <f>IFERROR('tablas turistas por categorías '!D6/'tablas turistas por categorías '!D19-1,"-")</f>
        <v>-</v>
      </c>
      <c r="D6" s="167" t="str">
        <f>IFERROR('tablas turistas por categorías '!E6/'tablas turistas por categorías '!E19-1,"-")</f>
        <v>-</v>
      </c>
      <c r="E6" s="167" t="str">
        <f>IFERROR('tablas turistas por categorías '!F6/'tablas turistas por categorías '!F19-1,"-")</f>
        <v>-</v>
      </c>
      <c r="F6" s="167" t="str">
        <f>IFERROR('tablas turistas por categorías '!G6/'tablas turistas por categorías '!G19-1,"-")</f>
        <v>-</v>
      </c>
      <c r="G6" s="167" t="str">
        <f>IFERROR('tablas turistas por categorías '!H6/'tablas turistas por categorías '!H19-1,"-")</f>
        <v>-</v>
      </c>
      <c r="H6" s="167" t="str">
        <f>IFERROR('tablas turistas por categorías '!I6/'tablas turistas por categorías '!I19-1,"-")</f>
        <v>-</v>
      </c>
      <c r="I6" s="167" t="str">
        <f>IFERROR('tablas turistas por categorías '!J6/'tablas turistas por categorías '!J19-1,"-")</f>
        <v>-</v>
      </c>
    </row>
    <row r="7" spans="2:9" hidden="1">
      <c r="B7" s="51" t="s">
        <v>39</v>
      </c>
      <c r="C7" s="167" t="str">
        <f>IFERROR('tablas turistas por categorías '!D7/'tablas turistas por categorías '!D20-1,"-")</f>
        <v>-</v>
      </c>
      <c r="D7" s="167" t="str">
        <f>IFERROR('tablas turistas por categorías '!E7/'tablas turistas por categorías '!E20-1,"-")</f>
        <v>-</v>
      </c>
      <c r="E7" s="167" t="str">
        <f>IFERROR('tablas turistas por categorías '!F7/'tablas turistas por categorías '!F20-1,"-")</f>
        <v>-</v>
      </c>
      <c r="F7" s="167" t="str">
        <f>IFERROR('tablas turistas por categorías '!G7/'tablas turistas por categorías '!G20-1,"-")</f>
        <v>-</v>
      </c>
      <c r="G7" s="167" t="str">
        <f>IFERROR('tablas turistas por categorías '!H7/'tablas turistas por categorías '!H20-1,"-")</f>
        <v>-</v>
      </c>
      <c r="H7" s="167" t="str">
        <f>IFERROR('tablas turistas por categorías '!I7/'tablas turistas por categorías '!I20-1,"-")</f>
        <v>-</v>
      </c>
      <c r="I7" s="167" t="str">
        <f>IFERROR('tablas turistas por categorías '!J7/'tablas turistas por categorías '!J20-1,"-")</f>
        <v>-</v>
      </c>
    </row>
    <row r="8" spans="2:9" hidden="1">
      <c r="B8" s="51" t="s">
        <v>40</v>
      </c>
      <c r="C8" s="167" t="str">
        <f>IFERROR('tablas turistas por categorías '!D8/'tablas turistas por categorías '!D21-1,"-")</f>
        <v>-</v>
      </c>
      <c r="D8" s="167" t="str">
        <f>IFERROR('tablas turistas por categorías '!E8/'tablas turistas por categorías '!E21-1,"-")</f>
        <v>-</v>
      </c>
      <c r="E8" s="167" t="str">
        <f>IFERROR('tablas turistas por categorías '!F8/'tablas turistas por categorías '!F21-1,"-")</f>
        <v>-</v>
      </c>
      <c r="F8" s="167" t="str">
        <f>IFERROR('tablas turistas por categorías '!G8/'tablas turistas por categorías '!G21-1,"-")</f>
        <v>-</v>
      </c>
      <c r="G8" s="167" t="str">
        <f>IFERROR('tablas turistas por categorías '!H8/'tablas turistas por categorías '!H21-1,"-")</f>
        <v>-</v>
      </c>
      <c r="H8" s="167" t="str">
        <f>IFERROR('tablas turistas por categorías '!I8/'tablas turistas por categorías '!I21-1,"-")</f>
        <v>-</v>
      </c>
      <c r="I8" s="167" t="str">
        <f>IFERROR('tablas turistas por categorías '!J8/'tablas turistas por categorías '!J21-1,"-")</f>
        <v>-</v>
      </c>
    </row>
    <row r="9" spans="2:9" hidden="1">
      <c r="B9" s="51" t="s">
        <v>41</v>
      </c>
      <c r="C9" s="167" t="str">
        <f>IFERROR('tablas turistas por categorías '!D9/'tablas turistas por categorías '!D22-1,"-")</f>
        <v>-</v>
      </c>
      <c r="D9" s="167" t="str">
        <f>IFERROR('tablas turistas por categorías '!E9/'tablas turistas por categorías '!E22-1,"-")</f>
        <v>-</v>
      </c>
      <c r="E9" s="167" t="str">
        <f>IFERROR('tablas turistas por categorías '!F9/'tablas turistas por categorías '!F22-1,"-")</f>
        <v>-</v>
      </c>
      <c r="F9" s="167" t="str">
        <f>IFERROR('tablas turistas por categorías '!G9/'tablas turistas por categorías '!G22-1,"-")</f>
        <v>-</v>
      </c>
      <c r="G9" s="167" t="str">
        <f>IFERROR('tablas turistas por categorías '!H9/'tablas turistas por categorías '!H22-1,"-")</f>
        <v>-</v>
      </c>
      <c r="H9" s="167" t="str">
        <f>IFERROR('tablas turistas por categorías '!I9/'tablas turistas por categorías '!I22-1,"-")</f>
        <v>-</v>
      </c>
      <c r="I9" s="167" t="str">
        <f>IFERROR('tablas turistas por categorías '!J9/'tablas turistas por categorías '!J22-1,"-")</f>
        <v>-</v>
      </c>
    </row>
    <row r="10" spans="2:9">
      <c r="B10" s="51" t="s">
        <v>42</v>
      </c>
      <c r="C10" s="167">
        <f>IFERROR('tablas turistas por categorías '!D10/'tablas turistas por categorías '!D23-1,"-")</f>
        <v>9.1754494730316161E-2</v>
      </c>
      <c r="D10" s="167">
        <f>IFERROR('tablas turistas por categorías '!E10/'tablas turistas por categorías '!E23-1,"-")</f>
        <v>-7.4236937403000525E-2</v>
      </c>
      <c r="E10" s="167">
        <f>IFERROR('tablas turistas por categorías '!F10/'tablas turistas por categorías '!F23-1,"-")</f>
        <v>7.745529170331289E-2</v>
      </c>
      <c r="F10" s="167">
        <f>IFERROR('tablas turistas por categorías '!G10/'tablas turistas por categorías '!G23-1,"-")</f>
        <v>0.18834151750356409</v>
      </c>
      <c r="G10" s="167">
        <f>IFERROR('tablas turistas por categorías '!H10/'tablas turistas por categorías '!H23-1,"-")</f>
        <v>6.8033046373170647E-2</v>
      </c>
      <c r="H10" s="167">
        <f>IFERROR('tablas turistas por categorías '!I10/'tablas turistas por categorías '!I23-1,"-")</f>
        <v>8.044624970133607E-2</v>
      </c>
      <c r="I10" s="167">
        <f>IFERROR('tablas turistas por categorías '!J10/'tablas turistas por categorías '!J23-1,"-")</f>
        <v>7.2466717432975392E-2</v>
      </c>
    </row>
    <row r="11" spans="2:9">
      <c r="B11" s="51" t="s">
        <v>43</v>
      </c>
      <c r="C11" s="167">
        <f>IFERROR('tablas turistas por categorías '!D11/'tablas turistas por categorías '!D24-1,"-")</f>
        <v>0.22646536412078144</v>
      </c>
      <c r="D11" s="167">
        <f>IFERROR('tablas turistas por categorías '!E11/'tablas turistas por categorías '!E24-1,"-")</f>
        <v>-9.4944512946979032E-2</v>
      </c>
      <c r="E11" s="167">
        <f>IFERROR('tablas turistas por categorías '!F11/'tablas turistas por categorías '!F24-1,"-")</f>
        <v>0.12606589682671232</v>
      </c>
      <c r="F11" s="167">
        <f>IFERROR('tablas turistas por categorías '!G11/'tablas turistas por categorías '!G24-1,"-")</f>
        <v>5.4270127915726052E-2</v>
      </c>
      <c r="G11" s="167">
        <f>IFERROR('tablas turistas por categorías '!H11/'tablas turistas por categorías '!H24-1,"-")</f>
        <v>7.9757521104180773E-2</v>
      </c>
      <c r="H11" s="167">
        <f>IFERROR('tablas turistas por categorías '!I11/'tablas turistas por categorías '!I24-1,"-")</f>
        <v>2.748826573594898E-2</v>
      </c>
      <c r="I11" s="167">
        <f>IFERROR('tablas turistas por categorías '!J11/'tablas turistas por categorías '!J24-1,"-")</f>
        <v>6.1868239597320906E-2</v>
      </c>
    </row>
    <row r="12" spans="2:9">
      <c r="B12" s="51" t="s">
        <v>44</v>
      </c>
      <c r="C12" s="167">
        <f>IFERROR('tablas turistas por categorías '!D12/'tablas turistas por categorías '!D25-1,"-")</f>
        <v>-3.8819875776398005E-3</v>
      </c>
      <c r="D12" s="167">
        <f>IFERROR('tablas turistas por categorías '!E12/'tablas turistas por categorías '!E25-1,"-")</f>
        <v>9.4523296425652159E-2</v>
      </c>
      <c r="E12" s="167">
        <f>IFERROR('tablas turistas por categorías '!F12/'tablas turistas por categorías '!F25-1,"-")</f>
        <v>8.1672927449928157E-2</v>
      </c>
      <c r="F12" s="167">
        <f>IFERROR('tablas turistas por categorías '!G12/'tablas turistas por categorías '!G25-1,"-")</f>
        <v>0.19622769178719435</v>
      </c>
      <c r="G12" s="167">
        <f>IFERROR('tablas turistas por categorías '!H12/'tablas turistas por categorías '!H25-1,"-")</f>
        <v>9.8476314697337974E-2</v>
      </c>
      <c r="H12" s="167">
        <f>IFERROR('tablas turistas por categorías '!I12/'tablas turistas por categorías '!I25-1,"-")</f>
        <v>8.318584070796442E-3</v>
      </c>
      <c r="I12" s="167">
        <f>IFERROR('tablas turistas por categorías '!J12/'tablas turistas por categorías '!J25-1,"-")</f>
        <v>6.9693667514227009E-2</v>
      </c>
    </row>
    <row r="13" spans="2:9">
      <c r="B13" s="51" t="s">
        <v>45</v>
      </c>
      <c r="C13" s="167">
        <f>IFERROR('tablas turistas por categorías '!D13/'tablas turistas por categorías '!D26-1,"-")</f>
        <v>4.8600883652430094E-2</v>
      </c>
      <c r="D13" s="167">
        <f>IFERROR('tablas turistas por categorías '!E13/'tablas turistas por categorías '!E26-1,"-")</f>
        <v>-4.3787999754344997E-2</v>
      </c>
      <c r="E13" s="167">
        <f>IFERROR('tablas turistas por categorías '!F13/'tablas turistas por categorías '!F26-1,"-")</f>
        <v>0.18369948512491097</v>
      </c>
      <c r="F13" s="167">
        <f>IFERROR('tablas turistas por categorías '!G13/'tablas turistas por categorías '!G26-1,"-")</f>
        <v>9.8015267175572518E-2</v>
      </c>
      <c r="G13" s="167">
        <f>IFERROR('tablas turistas por categorías '!H13/'tablas turistas por categorías '!H26-1,"-")</f>
        <v>0.12873036074782762</v>
      </c>
      <c r="H13" s="167">
        <f>IFERROR('tablas turistas por categorías '!I13/'tablas turistas por categorías '!I26-1,"-")</f>
        <v>3.5676425804213263E-2</v>
      </c>
      <c r="I13" s="167">
        <f>IFERROR('tablas turistas por categorías '!J13/'tablas turistas por categorías '!J26-1,"-")</f>
        <v>9.4975074636257428E-2</v>
      </c>
    </row>
    <row r="14" spans="2:9">
      <c r="B14" s="51" t="s">
        <v>46</v>
      </c>
      <c r="C14" s="167">
        <f>IFERROR('tablas turistas por categorías '!D14/'tablas turistas por categorías '!D27-1,"-")</f>
        <v>-0.26818181818181819</v>
      </c>
      <c r="D14" s="167">
        <f>IFERROR('tablas turistas por categorías '!E14/'tablas turistas por categorías '!E27-1,"-")</f>
        <v>-0.19747329610150188</v>
      </c>
      <c r="E14" s="167">
        <f>IFERROR('tablas turistas por categorías '!F14/'tablas turistas por categorías '!F27-1,"-")</f>
        <v>0.12507732973398578</v>
      </c>
      <c r="F14" s="167">
        <f>IFERROR('tablas turistas por categorías '!G14/'tablas turistas por categorías '!G27-1,"-")</f>
        <v>0.24954682779456183</v>
      </c>
      <c r="G14" s="167">
        <f>IFERROR('tablas turistas por categorías '!H14/'tablas turistas por categorías '!H27-1,"-")</f>
        <v>6.4007235907013849E-2</v>
      </c>
      <c r="H14" s="167">
        <f>IFERROR('tablas turistas por categorías '!I14/'tablas turistas por categorías '!I27-1,"-")</f>
        <v>-3.8245895074089375E-3</v>
      </c>
      <c r="I14" s="167">
        <f>IFERROR('tablas turistas por categorías '!J14/'tablas turistas por categorías '!J27-1,"-")</f>
        <v>3.8927675074590384E-2</v>
      </c>
    </row>
    <row r="15" spans="2:9">
      <c r="B15" s="51" t="s">
        <v>47</v>
      </c>
      <c r="C15" s="167">
        <f>IFERROR('tablas turistas por categorías '!D15/'tablas turistas por categorías '!D28-1,"-")</f>
        <v>2.4154589371980784E-3</v>
      </c>
      <c r="D15" s="167">
        <f>IFERROR('tablas turistas por categorías '!E15/'tablas turistas por categorías '!E28-1,"-")</f>
        <v>-0.20516136617482805</v>
      </c>
      <c r="E15" s="167">
        <f>IFERROR('tablas turistas por categorías '!F15/'tablas turistas por categorías '!F28-1,"-")</f>
        <v>3.4591727329157607E-2</v>
      </c>
      <c r="F15" s="167">
        <f>IFERROR('tablas turistas por categorías '!G15/'tablas turistas por categorías '!G28-1,"-")</f>
        <v>-9.4621916700363684E-3</v>
      </c>
      <c r="G15" s="167">
        <f>IFERROR('tablas turistas por categorías '!H15/'tablas turistas por categorías '!H28-1,"-")</f>
        <v>-2.1066828994640741E-2</v>
      </c>
      <c r="H15" s="167">
        <f>IFERROR('tablas turistas por categorías '!I15/'tablas turistas por categorías '!I28-1,"-")</f>
        <v>-0.13213093119513708</v>
      </c>
      <c r="I15" s="167">
        <f>IFERROR('tablas turistas por categorías '!J15/'tablas turistas por categorías '!J28-1,"-")</f>
        <v>-6.2582217172925114E-2</v>
      </c>
    </row>
    <row r="16" spans="2:9">
      <c r="B16" s="51" t="s">
        <v>48</v>
      </c>
      <c r="C16" s="167">
        <f>IFERROR('tablas turistas por categorías '!D16/'tablas turistas por categorías '!D29-1,"-")</f>
        <v>0.22152886115444614</v>
      </c>
      <c r="D16" s="167">
        <f>IFERROR('tablas turistas por categorías '!E16/'tablas turistas por categorías '!E29-1,"-")</f>
        <v>-0.15405833675685188</v>
      </c>
      <c r="E16" s="167">
        <f>IFERROR('tablas turistas por categorías '!F16/'tablas turistas por categorías '!F29-1,"-")</f>
        <v>6.6240536408348261E-2</v>
      </c>
      <c r="F16" s="167">
        <f>IFERROR('tablas turistas por categorías '!G16/'tablas turistas por categorías '!G29-1,"-")</f>
        <v>6.7519277788226528E-2</v>
      </c>
      <c r="G16" s="167">
        <f>IFERROR('tablas turistas por categorías '!H16/'tablas turistas por categorías '!H29-1,"-")</f>
        <v>2.3701977367194482E-2</v>
      </c>
      <c r="H16" s="167">
        <f>IFERROR('tablas turistas por categorías '!I16/'tablas turistas por categorías '!I29-1,"-")</f>
        <v>-0.12767880682460175</v>
      </c>
      <c r="I16" s="167">
        <f>IFERROR('tablas turistas por categorías '!J16/'tablas turistas por categorías '!J29-1,"-")</f>
        <v>-3.5256410256410242E-2</v>
      </c>
    </row>
    <row r="17" spans="2:9" ht="30">
      <c r="B17" s="141" t="s">
        <v>54</v>
      </c>
      <c r="C17" s="168">
        <f>IFERROR(('tablas turistas por categorías '!D14+'tablas turistas por categorías '!D15+'tablas turistas por categorías '!D16+'tablas turistas por categorías '!D13+'tablas turistas por categorías '!D12+'tablas turistas por categorías '!D11+'tablas turistas por categorías '!D10)/('tablas turistas por categorías '!D27+'tablas turistas por categorías '!D28+'tablas turistas por categorías '!D29+'tablas turistas por categorías '!D26+'tablas turistas por categorías '!D25+'tablas turistas por categorías '!D24+'tablas turistas por categorías '!D23)-1,"-")</f>
        <v>2.8855103940428117E-2</v>
      </c>
      <c r="D17" s="168">
        <f>IFERROR(('tablas turistas por categorías '!E14+'tablas turistas por categorías '!E15+'tablas turistas por categorías '!E16+'tablas turistas por categorías '!E13+'tablas turistas por categorías '!E12+'tablas turistas por categorías '!E11+'tablas turistas por categorías '!E10)/('tablas turistas por categorías '!E27+'tablas turistas por categorías '!E28+'tablas turistas por categorías '!E29+'tablas turistas por categorías '!E26+'tablas turistas por categorías '!E25+'tablas turistas por categorías '!E24+'tablas turistas por categorías '!E23)-1,"-")</f>
        <v>-0.10454414983315996</v>
      </c>
      <c r="E17" s="168">
        <f>IFERROR(('tablas turistas por categorías '!F14+'tablas turistas por categorías '!F15+'tablas turistas por categorías '!F16+'tablas turistas por categorías '!F13+'tablas turistas por categorías '!F12+'tablas turistas por categorías '!F11+'tablas turistas por categorías '!F10)/('tablas turistas por categorías '!F27+'tablas turistas por categorías '!F28+'tablas turistas por categorías '!F29+'tablas turistas por categorías '!F26+'tablas turistas por categorías '!F25+'tablas turistas por categorías '!F24+'tablas turistas por categorías '!F23)-1,"-")</f>
        <v>9.9755903158314174E-2</v>
      </c>
      <c r="F17" s="168">
        <f>IFERROR(('tablas turistas por categorías '!G14+'tablas turistas por categorías '!G15+'tablas turistas por categorías '!G16+'tablas turistas por categorías '!G13+'tablas turistas por categorías '!G12+'tablas turistas por categorías '!G11+'tablas turistas por categorías '!G10)/('tablas turistas por categorías '!G27+'tablas turistas por categorías '!G28+'tablas turistas por categorías '!G29+'tablas turistas por categorías '!G26+'tablas turistas por categorías '!G25+'tablas turistas por categorías '!G24+'tablas turistas por categorías '!G23)-1,"-")</f>
        <v>0.12144022231619656</v>
      </c>
      <c r="G17" s="168">
        <f>IFERROR(('tablas turistas por categorías '!H14+'tablas turistas por categorías '!H15+'tablas turistas por categorías '!H16+'tablas turistas por categorías '!H13+'tablas turistas por categorías '!H12+'tablas turistas por categorías '!H11+'tablas turistas por categorías '!H10)/('tablas turistas por categorías '!H27+'tablas turistas por categorías '!H28+'tablas turistas por categorías '!H29+'tablas turistas por categorías '!H26+'tablas turistas por categorías '!H25+'tablas turistas por categorías '!H24+'tablas turistas por categorías '!H23)-1,"-")</f>
        <v>6.3966184229217848E-2</v>
      </c>
      <c r="H17" s="168">
        <f>IFERROR(('tablas turistas por categorías '!I14+'tablas turistas por categorías '!I15+'tablas turistas por categorías '!I16+'tablas turistas por categorías '!I13+'tablas turistas por categorías '!I12+'tablas turistas por categorías '!I11+'tablas turistas por categorías '!I10)/('tablas turistas por categorías '!I27+'tablas turistas por categorías '!I28+'tablas turistas por categorías '!I29+'tablas turistas por categorías '!I26+'tablas turistas por categorías '!I25+'tablas turistas por categorías '!I24+'tablas turistas por categorías '!I23)-1,"-")</f>
        <v>-1.7271765949947171E-2</v>
      </c>
      <c r="I17" s="168">
        <f>IFERROR(('tablas turistas por categorías '!J14+'tablas turistas por categorías '!J15+'tablas turistas por categorías '!J16+'tablas turistas por categorías '!J13+'tablas turistas por categorías '!J12+'tablas turistas por categorías '!J11+'tablas turistas por categorías '!J10)/('tablas turistas por categorías '!J27+'tablas turistas por categorías '!J28+'tablas turistas por categorías '!J29+'tablas turistas por categorías '!J26+'tablas turistas por categorías '!J25+'tablas turistas por categorías '!J24+'tablas turistas por categorías '!J23)-1,"-")</f>
        <v>3.4725819854985795E-2</v>
      </c>
    </row>
    <row r="18" spans="2:9" hidden="1" outlineLevel="1">
      <c r="B18" s="51" t="s">
        <v>37</v>
      </c>
      <c r="C18" s="167">
        <f>IFERROR('tablas turistas por categorías '!D18/'tablas turistas por categorías '!D31-1,"-")</f>
        <v>-0.28910686628807436</v>
      </c>
      <c r="D18" s="167">
        <f>IFERROR('tablas turistas por categorías '!E18/'tablas turistas por categorías '!E31-1,"-")</f>
        <v>-0.25878352852285602</v>
      </c>
      <c r="E18" s="167">
        <f>IFERROR('tablas turistas por categorías '!F18/'tablas turistas por categorías '!F31-1,"-")</f>
        <v>4.7380156075808255E-2</v>
      </c>
      <c r="F18" s="167">
        <f>IFERROR('tablas turistas por categorías '!G18/'tablas turistas por categorías '!G31-1,"-")</f>
        <v>5.1450121217563094E-2</v>
      </c>
      <c r="G18" s="167">
        <f>IFERROR('tablas turistas por categorías '!H18/'tablas turistas por categorías '!H31-1,"-")</f>
        <v>-2.4616760493940348E-2</v>
      </c>
      <c r="H18" s="167">
        <f>IFERROR('tablas turistas por categorías '!I18/'tablas turistas por categorías '!I31-1,"-")</f>
        <v>-0.13937562940584092</v>
      </c>
      <c r="I18" s="167">
        <f>IFERROR('tablas turistas por categorías '!J18/'tablas turistas por categorías '!J31-1,"-")</f>
        <v>-6.8806757290315268E-2</v>
      </c>
    </row>
    <row r="19" spans="2:9" hidden="1" outlineLevel="1">
      <c r="B19" s="51" t="s">
        <v>38</v>
      </c>
      <c r="C19" s="167">
        <f>IFERROR('tablas turistas por categorías '!D19/'tablas turistas por categorías '!D32-1,"-")</f>
        <v>-0.34954569748797437</v>
      </c>
      <c r="D19" s="167">
        <f>IFERROR('tablas turistas por categorías '!E19/'tablas turistas por categorías '!E32-1,"-")</f>
        <v>-0.22693755478781008</v>
      </c>
      <c r="E19" s="167">
        <f>IFERROR('tablas turistas por categorías '!F19/'tablas turistas por categorías '!F32-1,"-")</f>
        <v>-4.7654640887648703E-2</v>
      </c>
      <c r="F19" s="167">
        <f>IFERROR('tablas turistas por categorías '!G19/'tablas turistas por categorías '!G32-1,"-")</f>
        <v>-4.4958787777870102E-3</v>
      </c>
      <c r="G19" s="167">
        <f>IFERROR('tablas turistas por categorías '!H19/'tablas turistas por categorías '!H32-1,"-")</f>
        <v>-8.5345371687758798E-2</v>
      </c>
      <c r="H19" s="167">
        <f>IFERROR('tablas turistas por categorías '!I19/'tablas turistas por categorías '!I32-1,"-")</f>
        <v>-0.18353622354485466</v>
      </c>
      <c r="I19" s="167">
        <f>IFERROR('tablas turistas por categorías '!J19/'tablas turistas por categorías '!J32-1,"-")</f>
        <v>-0.12197166849998664</v>
      </c>
    </row>
    <row r="20" spans="2:9" hidden="1" outlineLevel="1">
      <c r="B20" s="51" t="s">
        <v>39</v>
      </c>
      <c r="C20" s="167">
        <f>IFERROR('tablas turistas por categorías '!D20/'tablas turistas por categorías '!D33-1,"-")</f>
        <v>-0.40047846889952154</v>
      </c>
      <c r="D20" s="167">
        <f>IFERROR('tablas turistas por categorías '!E20/'tablas turistas por categorías '!E33-1,"-")</f>
        <v>-0.38192419825072887</v>
      </c>
      <c r="E20" s="167">
        <f>IFERROR('tablas turistas por categorías '!F20/'tablas turistas por categorías '!F33-1,"-")</f>
        <v>2.6398830139305884E-2</v>
      </c>
      <c r="F20" s="167">
        <f>IFERROR('tablas turistas por categorías '!G20/'tablas turistas por categorías '!G33-1,"-")</f>
        <v>-4.4558637195551198E-2</v>
      </c>
      <c r="G20" s="167">
        <f>IFERROR('tablas turistas por categorías '!H20/'tablas turistas por categorías '!H33-1,"-")</f>
        <v>-7.3735443062917461E-2</v>
      </c>
      <c r="H20" s="167">
        <f>IFERROR('tablas turistas por categorías '!I20/'tablas turistas por categorías '!I33-1,"-")</f>
        <v>-0.12895071676987024</v>
      </c>
      <c r="I20" s="167">
        <f>IFERROR('tablas turistas por categorías '!J20/'tablas turistas por categorías '!J33-1,"-")</f>
        <v>-9.402092955130481E-2</v>
      </c>
    </row>
    <row r="21" spans="2:9" hidden="1" outlineLevel="1">
      <c r="B21" s="51" t="s">
        <v>40</v>
      </c>
      <c r="C21" s="167">
        <f>IFERROR('tablas turistas por categorías '!D21/'tablas turistas por categorías '!D34-1,"-")</f>
        <v>-0.25460829493087556</v>
      </c>
      <c r="D21" s="167">
        <f>IFERROR('tablas turistas por categorías '!E21/'tablas turistas por categorías '!E34-1,"-")</f>
        <v>-0.3024721619161006</v>
      </c>
      <c r="E21" s="167">
        <f>IFERROR('tablas turistas por categorías '!F21/'tablas turistas por categorías '!F34-1,"-")</f>
        <v>-5.0083472454090172E-2</v>
      </c>
      <c r="F21" s="167">
        <f>IFERROR('tablas turistas por categorías '!G21/'tablas turistas por categorías '!G34-1,"-")</f>
        <v>-7.8928076891748744E-2</v>
      </c>
      <c r="G21" s="167">
        <f>IFERROR('tablas turistas por categorías '!H21/'tablas turistas por categorías '!H34-1,"-")</f>
        <v>-9.8988570391872255E-2</v>
      </c>
      <c r="H21" s="167">
        <f>IFERROR('tablas turistas por categorías '!I21/'tablas turistas por categorías '!I34-1,"-")</f>
        <v>-8.355669265756982E-2</v>
      </c>
      <c r="I21" s="167">
        <f>IFERROR('tablas turistas por categorías '!J21/'tablas turistas por categorías '!J34-1,"-")</f>
        <v>-9.3458963911525084E-2</v>
      </c>
    </row>
    <row r="22" spans="2:9" hidden="1" outlineLevel="1">
      <c r="B22" s="51" t="s">
        <v>41</v>
      </c>
      <c r="C22" s="167">
        <f>IFERROR('tablas turistas por categorías '!D22/'tablas turistas por categorías '!D35-1,"-")</f>
        <v>-0.35763728657129668</v>
      </c>
      <c r="D22" s="167">
        <f>IFERROR('tablas turistas por categorías '!E22/'tablas turistas por categorías '!E35-1,"-")</f>
        <v>-0.31844399731723672</v>
      </c>
      <c r="E22" s="167">
        <f>IFERROR('tablas turistas por categorías '!F22/'tablas turistas por categorías '!F35-1,"-")</f>
        <v>-5.1771367157293247E-2</v>
      </c>
      <c r="F22" s="167">
        <f>IFERROR('tablas turistas por categorías '!G22/'tablas turistas por categorías '!G35-1,"-")</f>
        <v>-2.0754716981132071E-2</v>
      </c>
      <c r="G22" s="167">
        <f>IFERROR('tablas turistas por categorías '!H22/'tablas turistas por categorías '!H35-1,"-")</f>
        <v>-0.10547251582869399</v>
      </c>
      <c r="H22" s="167">
        <f>IFERROR('tablas turistas por categorías '!I22/'tablas turistas por categorías '!I35-1,"-")</f>
        <v>-7.677843505949844E-2</v>
      </c>
      <c r="I22" s="167">
        <f>IFERROR('tablas turistas por categorías '!J22/'tablas turistas por categorías '!J35-1,"-")</f>
        <v>-9.4352067575186993E-2</v>
      </c>
    </row>
    <row r="23" spans="2:9" hidden="1" outlineLevel="1">
      <c r="B23" s="51" t="s">
        <v>42</v>
      </c>
      <c r="C23" s="167">
        <f>IFERROR('tablas turistas por categorías '!D23/'tablas turistas por categorías '!D36-1,"-")</f>
        <v>-2.5966183574879231E-2</v>
      </c>
      <c r="D23" s="167">
        <f>IFERROR('tablas turistas por categorías '!E23/'tablas turistas por categorías '!E36-1,"-")</f>
        <v>-0.1474722972600474</v>
      </c>
      <c r="E23" s="167">
        <f>IFERROR('tablas turistas por categorías '!F23/'tablas turistas por categorías '!F36-1,"-")</f>
        <v>1.2902555270151828E-2</v>
      </c>
      <c r="F23" s="167">
        <f>IFERROR('tablas turistas por categorías '!G23/'tablas turistas por categorías '!G36-1,"-")</f>
        <v>-0.18908156711624924</v>
      </c>
      <c r="G23" s="167">
        <f>IFERROR('tablas turistas por categorías '!H23/'tablas turistas por categorías '!H36-1,"-")</f>
        <v>-4.6662642626270512E-2</v>
      </c>
      <c r="H23" s="167">
        <f>IFERROR('tablas turistas por categorías '!I23/'tablas turistas por categorías '!I36-1,"-")</f>
        <v>-7.0836962276072835E-2</v>
      </c>
      <c r="I23" s="167">
        <f>IFERROR('tablas turistas por categorías '!J23/'tablas turistas por categorías '!J36-1,"-")</f>
        <v>-5.5440154272568876E-2</v>
      </c>
    </row>
    <row r="24" spans="2:9" hidden="1" outlineLevel="1">
      <c r="B24" s="51" t="s">
        <v>43</v>
      </c>
      <c r="C24" s="167">
        <f>IFERROR('tablas turistas por categorías '!D24/'tablas turistas por categorías '!D37-1,"-")</f>
        <v>-0.26018396846254932</v>
      </c>
      <c r="D24" s="167">
        <f>IFERROR('tablas turistas por categorías '!E24/'tablas turistas por categorías '!E37-1,"-")</f>
        <v>-0.25636461704422875</v>
      </c>
      <c r="E24" s="167">
        <f>IFERROR('tablas turistas por categorías '!F24/'tablas turistas por categorías '!F37-1,"-")</f>
        <v>-0.15041464559536843</v>
      </c>
      <c r="F24" s="167">
        <f>IFERROR('tablas turistas por categorías '!G24/'tablas turistas por categorías '!G37-1,"-")</f>
        <v>-0.28011375177737152</v>
      </c>
      <c r="G24" s="167">
        <f>IFERROR('tablas turistas por categorías '!H24/'tablas turistas por categorías '!H37-1,"-")</f>
        <v>-0.19139972250635506</v>
      </c>
      <c r="H24" s="167">
        <f>IFERROR('tablas turistas por categorías '!I24/'tablas turistas por categorías '!I37-1,"-")</f>
        <v>-0.12760908823652939</v>
      </c>
      <c r="I24" s="167">
        <f>IFERROR('tablas turistas por categorías '!J24/'tablas turistas por categorías '!J37-1,"-")</f>
        <v>-0.17064422019226166</v>
      </c>
    </row>
    <row r="25" spans="2:9" hidden="1" outlineLevel="1">
      <c r="B25" s="51" t="s">
        <v>44</v>
      </c>
      <c r="C25" s="167">
        <f>IFERROR('tablas turistas por categorías '!D25/'tablas turistas por categorías '!D38-1,"-")</f>
        <v>-0.32565445026178008</v>
      </c>
      <c r="D25" s="167">
        <f>IFERROR('tablas turistas por categorías '!E25/'tablas turistas por categorías '!E38-1,"-")</f>
        <v>-0.31404832296870222</v>
      </c>
      <c r="E25" s="167">
        <f>IFERROR('tablas turistas por categorías '!F25/'tablas turistas por categorías '!F38-1,"-")</f>
        <v>-0.10534467004289982</v>
      </c>
      <c r="F25" s="167">
        <f>IFERROR('tablas turistas por categorías '!G25/'tablas turistas por categorías '!G38-1,"-")</f>
        <v>-0.33040720394177947</v>
      </c>
      <c r="G25" s="167">
        <f>IFERROR('tablas turistas por categorías '!H25/'tablas turistas por categorías '!H38-1,"-")</f>
        <v>-0.18716386838097809</v>
      </c>
      <c r="H25" s="167">
        <f>IFERROR('tablas turistas por categorías '!I25/'tablas turistas por categorías '!I38-1,"-")</f>
        <v>-0.20504110470141301</v>
      </c>
      <c r="I25" s="167">
        <f>IFERROR('tablas turistas por categorías '!J25/'tablas turistas por categorías '!J38-1,"-")</f>
        <v>-0.19295788410800951</v>
      </c>
    </row>
    <row r="26" spans="2:9" hidden="1" outlineLevel="1">
      <c r="B26" s="51" t="s">
        <v>45</v>
      </c>
      <c r="C26" s="167">
        <f>IFERROR('tablas turistas por categorías '!D26/'tablas turistas por categorías '!D39-1,"-")</f>
        <v>-0.18973747016706444</v>
      </c>
      <c r="D26" s="167">
        <f>IFERROR('tablas turistas por categorías '!E26/'tablas turistas por categorías '!E39-1,"-")</f>
        <v>-0.24668054591718713</v>
      </c>
      <c r="E26" s="167">
        <f>IFERROR('tablas turistas por categorías '!F26/'tablas turistas por categorías '!F39-1,"-")</f>
        <v>-3.9697933227344939E-2</v>
      </c>
      <c r="F26" s="167">
        <f>IFERROR('tablas turistas por categorías '!G26/'tablas turistas por categorías '!G39-1,"-")</f>
        <v>-0.19960896926742833</v>
      </c>
      <c r="G26" s="167">
        <f>IFERROR('tablas turistas por categorías '!H26/'tablas turistas por categorías '!H39-1,"-")</f>
        <v>-0.11129312194075547</v>
      </c>
      <c r="H26" s="167">
        <f>IFERROR('tablas turistas por categorías '!I26/'tablas turistas por categorías '!I39-1,"-")</f>
        <v>8.1416135551064528E-3</v>
      </c>
      <c r="I26" s="167">
        <f>IFERROR('tablas turistas por categorías '!J26/'tablas turistas por categorías '!J39-1,"-")</f>
        <v>-7.1385905909545411E-2</v>
      </c>
    </row>
    <row r="27" spans="2:9" hidden="1" outlineLevel="1">
      <c r="B27" s="51" t="s">
        <v>46</v>
      </c>
      <c r="C27" s="167">
        <f>IFERROR('tablas turistas por categorías '!D27/'tablas turistas por categorías '!D40-1,"-")</f>
        <v>-0.16941953751769701</v>
      </c>
      <c r="D27" s="167">
        <f>IFERROR('tablas turistas por categorías '!E27/'tablas turistas por categorías '!E40-1,"-")</f>
        <v>-0.25997110986277183</v>
      </c>
      <c r="E27" s="167">
        <f>IFERROR('tablas turistas por categorías '!F27/'tablas turistas por categorías '!F40-1,"-")</f>
        <v>-0.27166848716548331</v>
      </c>
      <c r="F27" s="167">
        <f>IFERROR('tablas turistas por categorías '!G27/'tablas turistas por categorías '!G40-1,"-")</f>
        <v>-0.33392744207439773</v>
      </c>
      <c r="G27" s="167">
        <f>IFERROR('tablas turistas por categorías '!H27/'tablas turistas por categorías '!H40-1,"-")</f>
        <v>-0.2765521695531723</v>
      </c>
      <c r="H27" s="167">
        <f>IFERROR('tablas turistas por categorías '!I27/'tablas turistas por categorías '!I40-1,"-")</f>
        <v>-0.24072187675794021</v>
      </c>
      <c r="I27" s="167">
        <f>IFERROR('tablas turistas por categorías '!J27/'tablas turistas por categorías '!J40-1,"-")</f>
        <v>-0.2637055934411574</v>
      </c>
    </row>
    <row r="28" spans="2:9" hidden="1" outlineLevel="1">
      <c r="B28" s="51" t="s">
        <v>47</v>
      </c>
      <c r="C28" s="167">
        <f>IFERROR('tablas turistas por categorías '!D28/'tablas turistas por categorías '!D41-1,"-")</f>
        <v>-0.43442622950819676</v>
      </c>
      <c r="D28" s="167">
        <f>IFERROR('tablas turistas por categorías '!E28/'tablas turistas por categorías '!E41-1,"-")</f>
        <v>-0.24361938639395286</v>
      </c>
      <c r="E28" s="167">
        <f>IFERROR('tablas turistas por categorías '!F28/'tablas turistas por categorías '!F41-1,"-")</f>
        <v>-0.1687436478774138</v>
      </c>
      <c r="F28" s="167">
        <f>IFERROR('tablas turistas por categorías '!G28/'tablas turistas por categorías '!G41-1,"-")</f>
        <v>-0.22134760705289669</v>
      </c>
      <c r="G28" s="167">
        <f>IFERROR('tablas turistas por categorías '!H28/'tablas turistas por categorías '!H41-1,"-")</f>
        <v>-0.19842902383253125</v>
      </c>
      <c r="H28" s="167">
        <f>IFERROR('tablas turistas por categorías '!I28/'tablas turistas por categorías '!I41-1,"-")</f>
        <v>-0.215304473349756</v>
      </c>
      <c r="I28" s="167">
        <f>IFERROR('tablas turistas por categorías '!J28/'tablas turistas por categorías '!J41-1,"-")</f>
        <v>-0.20482128210919204</v>
      </c>
    </row>
    <row r="29" spans="2:9" hidden="1" outlineLevel="1">
      <c r="B29" s="51" t="s">
        <v>48</v>
      </c>
      <c r="C29" s="167">
        <f>IFERROR('tablas turistas por categorías '!D29/'tablas turistas por categorías '!D42-1,"-")</f>
        <v>-0.29714912280701755</v>
      </c>
      <c r="D29" s="167">
        <f>IFERROR('tablas turistas por categorías '!E29/'tablas turistas por categorías '!E42-1,"-")</f>
        <v>-0.19880566135327038</v>
      </c>
      <c r="E29" s="167">
        <f>IFERROR('tablas turistas por categorías '!F29/'tablas turistas por categorías '!F42-1,"-")</f>
        <v>-3.9406164844109415E-2</v>
      </c>
      <c r="F29" s="167">
        <f>IFERROR('tablas turistas por categorías '!G29/'tablas turistas por categorías '!G42-1,"-")</f>
        <v>-0.18457173529637294</v>
      </c>
      <c r="G29" s="167">
        <f>IFERROR('tablas turistas por categorías '!H29/'tablas turistas por categorías '!H42-1,"-")</f>
        <v>-0.10150465211665916</v>
      </c>
      <c r="H29" s="167">
        <f>IFERROR('tablas turistas por categorías '!I29/'tablas turistas por categorías '!I42-1,"-")</f>
        <v>-2.5383132972377709E-2</v>
      </c>
      <c r="I29" s="167">
        <f>IFERROR('tablas turistas por categorías '!J29/'tablas turistas por categorías '!J42-1,"-")</f>
        <v>-7.3315616695325936E-2</v>
      </c>
    </row>
    <row r="30" spans="2:9" collapsed="1">
      <c r="B30" s="164">
        <v>2009</v>
      </c>
      <c r="C30" s="169">
        <f>IFERROR('tablas turistas por categorías '!D30/'tablas turistas por categorías '!D43-1,"-")</f>
        <v>-0.28638125440451023</v>
      </c>
      <c r="D30" s="169">
        <f>IFERROR('tablas turistas por categorías '!E30/'tablas turistas por categorías '!E43-1,"-")</f>
        <v>-0.26294356943420305</v>
      </c>
      <c r="E30" s="169">
        <f>IFERROR('tablas turistas por categorías '!F30/'tablas turistas por categorías '!F43-1,"-")</f>
        <v>-7.3338454080286608E-2</v>
      </c>
      <c r="F30" s="169">
        <f>IFERROR('tablas turistas por categorías '!G30/'tablas turistas por categorías '!G43-1,"-")</f>
        <v>-0.16774902930969315</v>
      </c>
      <c r="G30" s="169">
        <f>IFERROR('tablas turistas por categorías '!H30/'tablas turistas por categorías '!H43-1,"-")</f>
        <v>-0.12887218729694938</v>
      </c>
      <c r="H30" s="169">
        <f>IFERROR('tablas turistas por categorías '!I30/'tablas turistas por categorías '!I43-1,"-")</f>
        <v>-0.12608526876286319</v>
      </c>
      <c r="I30" s="169">
        <f>IFERROR('tablas turistas por categorías '!J30/'tablas turistas por categorías '!J43-1,"-")</f>
        <v>-0.12786598265284532</v>
      </c>
    </row>
    <row r="31" spans="2:9" hidden="1" outlineLevel="1">
      <c r="B31" s="51" t="s">
        <v>37</v>
      </c>
      <c r="C31" s="167">
        <f>IFERROR('tablas turistas por categorías '!D31/'tablas turistas por categorías '!D44-1,"-")</f>
        <v>-6.10761027629666E-2</v>
      </c>
      <c r="D31" s="167">
        <f>IFERROR('tablas turistas por categorías '!E31/'tablas turistas por categorías '!E44-1,"-")</f>
        <v>-8.2359350237717899E-2</v>
      </c>
      <c r="E31" s="167">
        <f>IFERROR('tablas turistas por categorías '!F31/'tablas turistas por categorías '!F44-1,"-")</f>
        <v>-2.8915662650602414E-2</v>
      </c>
      <c r="F31" s="167">
        <f>IFERROR('tablas turistas por categorías '!G31/'tablas turistas por categorías '!G44-1,"-")</f>
        <v>-0.25748383225548366</v>
      </c>
      <c r="G31" s="167">
        <f>IFERROR('tablas turistas por categorías '!H31/'tablas turistas por categorías '!H44-1,"-")</f>
        <v>-7.730311878464724E-2</v>
      </c>
      <c r="H31" s="167">
        <f>IFERROR('tablas turistas por categorías '!I31/'tablas turistas por categorías '!I44-1,"-")</f>
        <v>-8.2622117305247711E-3</v>
      </c>
      <c r="I31" s="167">
        <f>IFERROR('tablas turistas por categorías '!J31/'tablas turistas por categorías '!J44-1,"-")</f>
        <v>-5.1887107771702023E-2</v>
      </c>
    </row>
    <row r="32" spans="2:9" hidden="1" outlineLevel="1">
      <c r="B32" s="51" t="s">
        <v>38</v>
      </c>
      <c r="C32" s="167">
        <f>IFERROR('tablas turistas por categorías '!D32/'tablas turistas por categorías '!D45-1,"-")</f>
        <v>-0.17028824833702882</v>
      </c>
      <c r="D32" s="167">
        <f>IFERROR('tablas turistas por categorías '!E32/'tablas turistas por categorías '!E45-1,"-")</f>
        <v>-0.1014687485521012</v>
      </c>
      <c r="E32" s="167">
        <f>IFERROR('tablas turistas por categorías '!F32/'tablas turistas por categorías '!F45-1,"-")</f>
        <v>-4.7781731909845804E-2</v>
      </c>
      <c r="F32" s="167">
        <f>IFERROR('tablas turistas por categorías '!G32/'tablas turistas por categorías '!G45-1,"-")</f>
        <v>-0.24459119496855342</v>
      </c>
      <c r="G32" s="167">
        <f>IFERROR('tablas turistas por categorías '!H32/'tablas turistas por categorías '!H45-1,"-")</f>
        <v>-9.2110758233540202E-2</v>
      </c>
      <c r="H32" s="167">
        <f>IFERROR('tablas turistas por categorías '!I32/'tablas turistas por categorías '!I45-1,"-")</f>
        <v>-0.11462595322624303</v>
      </c>
      <c r="I32" s="167">
        <f>IFERROR('tablas turistas por categorías '!J32/'tablas turistas por categorías '!J45-1,"-")</f>
        <v>-0.10064182993919502</v>
      </c>
    </row>
    <row r="33" spans="2:9" hidden="1" outlineLevel="1">
      <c r="B33" s="51" t="s">
        <v>39</v>
      </c>
      <c r="C33" s="167">
        <f>IFERROR('tablas turistas por categorías '!D33/'tablas turistas por categorías '!D46-1,"-")</f>
        <v>0.11526147278548549</v>
      </c>
      <c r="D33" s="167">
        <f>IFERROR('tablas turistas por categorías '!E33/'tablas turistas por categorías '!E46-1,"-")</f>
        <v>1.8812812515471844E-3</v>
      </c>
      <c r="E33" s="167">
        <f>IFERROR('tablas turistas por categorías '!F33/'tablas turistas por categorías '!F46-1,"-")</f>
        <v>-8.8364064999579051E-2</v>
      </c>
      <c r="F33" s="167">
        <f>IFERROR('tablas turistas por categorías '!G33/'tablas turistas por categorías '!G46-1,"-")</f>
        <v>-0.1934824571363688</v>
      </c>
      <c r="G33" s="167">
        <f>IFERROR('tablas turistas por categorías '!H33/'tablas turistas por categorías '!H46-1,"-")</f>
        <v>-8.5183282409034833E-2</v>
      </c>
      <c r="H33" s="167">
        <f>IFERROR('tablas turistas por categorías '!I33/'tablas turistas por categorías '!I46-1,"-")</f>
        <v>-1.591038098100106E-2</v>
      </c>
      <c r="I33" s="167">
        <f>IFERROR('tablas turistas por categorías '!J33/'tablas turistas por categorías '!J46-1,"-")</f>
        <v>-6.0896591687299217E-2</v>
      </c>
    </row>
    <row r="34" spans="2:9" hidden="1" outlineLevel="1">
      <c r="B34" s="51" t="s">
        <v>40</v>
      </c>
      <c r="C34" s="167">
        <f>IFERROR('tablas turistas por categorías '!D34/'tablas turistas por categorías '!D47-1,"-")</f>
        <v>9.302325581395321E-3</v>
      </c>
      <c r="D34" s="167">
        <f>IFERROR('tablas turistas por categorías '!E34/'tablas turistas por categorías '!E47-1,"-")</f>
        <v>-0.16711385907606158</v>
      </c>
      <c r="E34" s="167">
        <f>IFERROR('tablas turistas por categorías '!F34/'tablas turistas por categorías '!F47-1,"-")</f>
        <v>-3.8084784380248982E-3</v>
      </c>
      <c r="F34" s="167">
        <f>IFERROR('tablas turistas por categorías '!G34/'tablas turistas por categorías '!G47-1,"-")</f>
        <v>-0.21792585042680601</v>
      </c>
      <c r="G34" s="167">
        <f>IFERROR('tablas turistas por categorías '!H34/'tablas turistas por categorías '!H47-1,"-")</f>
        <v>-6.8633766672651086E-2</v>
      </c>
      <c r="H34" s="167">
        <f>IFERROR('tablas turistas por categorías '!I34/'tablas turistas por categorías '!I47-1,"-")</f>
        <v>3.2842582106455298E-2</v>
      </c>
      <c r="I34" s="167">
        <f>IFERROR('tablas turistas por categorías '!J34/'tablas turistas por categorías '!J47-1,"-")</f>
        <v>-3.4648423507266157E-2</v>
      </c>
    </row>
    <row r="35" spans="2:9" hidden="1" outlineLevel="1">
      <c r="B35" s="51" t="s">
        <v>41</v>
      </c>
      <c r="C35" s="167">
        <f>IFERROR('tablas turistas por categorías '!D35/'tablas turistas por categorías '!D48-1,"-")</f>
        <v>0.5185704274702172</v>
      </c>
      <c r="D35" s="167">
        <f>IFERROR('tablas turistas por categorías '!E35/'tablas turistas por categorías '!E48-1,"-")</f>
        <v>-0.11186561829878483</v>
      </c>
      <c r="E35" s="167">
        <f>IFERROR('tablas turistas por categorías '!F35/'tablas turistas por categorías '!F48-1,"-")</f>
        <v>8.3287188879896723E-2</v>
      </c>
      <c r="F35" s="167">
        <f>IFERROR('tablas turistas por categorías '!G35/'tablas turistas por categorías '!G48-1,"-")</f>
        <v>-0.1417776178481468</v>
      </c>
      <c r="G35" s="167">
        <f>IFERROR('tablas turistas por categorías '!H35/'tablas turistas por categorías '!H48-1,"-")</f>
        <v>1.2531438521202309E-2</v>
      </c>
      <c r="H35" s="167">
        <f>IFERROR('tablas turistas por categorías '!I35/'tablas turistas por categorías '!I48-1,"-")</f>
        <v>1.294349905461023E-2</v>
      </c>
      <c r="I35" s="167">
        <f>IFERROR('tablas turistas por categorías '!J35/'tablas turistas por categorías '!J48-1,"-")</f>
        <v>1.26910936102822E-2</v>
      </c>
    </row>
    <row r="36" spans="2:9" hidden="1" outlineLevel="1">
      <c r="B36" s="51" t="s">
        <v>42</v>
      </c>
      <c r="C36" s="167">
        <f>IFERROR('tablas turistas por categorías '!D36/'tablas turistas por categorías '!D49-1,"-")</f>
        <v>0.43005181347150256</v>
      </c>
      <c r="D36" s="167">
        <f>IFERROR('tablas turistas por categorías '!E36/'tablas turistas por categorías '!E49-1,"-")</f>
        <v>-6.8265872200534261E-2</v>
      </c>
      <c r="E36" s="167">
        <f>IFERROR('tablas turistas por categorías '!F36/'tablas turistas por categorías '!F49-1,"-")</f>
        <v>-3.7320259569480596E-2</v>
      </c>
      <c r="F36" s="167">
        <f>IFERROR('tablas turistas por categorías '!G36/'tablas turistas por categorías '!G49-1,"-")</f>
        <v>6.3379319765059394E-2</v>
      </c>
      <c r="G36" s="167">
        <f>IFERROR('tablas turistas por categorías '!H36/'tablas turistas por categorías '!H49-1,"-")</f>
        <v>-2.3890525515537386E-2</v>
      </c>
      <c r="H36" s="167">
        <f>IFERROR('tablas turistas por categorías '!I36/'tablas turistas por categorías '!I49-1,"-")</f>
        <v>6.2952676577901157E-2</v>
      </c>
      <c r="I36" s="167">
        <f>IFERROR('tablas turistas por categorías '!J36/'tablas turistas por categorías '!J49-1,"-")</f>
        <v>5.9506359196352943E-3</v>
      </c>
    </row>
    <row r="37" spans="2:9" hidden="1" outlineLevel="1">
      <c r="B37" s="51" t="s">
        <v>43</v>
      </c>
      <c r="C37" s="167">
        <f>IFERROR('tablas turistas por categorías '!D37/'tablas turistas por categorías '!D50-1,"-")</f>
        <v>0.1053013798111837</v>
      </c>
      <c r="D37" s="167">
        <f>IFERROR('tablas turistas por categorías '!E37/'tablas turistas por categorías '!E50-1,"-")</f>
        <v>4.3918918918918859E-2</v>
      </c>
      <c r="E37" s="167">
        <f>IFERROR('tablas turistas por categorías '!F37/'tablas turistas por categorías '!F50-1,"-")</f>
        <v>6.6152149944873617E-3</v>
      </c>
      <c r="F37" s="167">
        <f>IFERROR('tablas turistas por categorías '!G37/'tablas turistas por categorías '!G50-1,"-")</f>
        <v>0.10019368295589981</v>
      </c>
      <c r="G37" s="167">
        <f>IFERROR('tablas turistas por categorías '!H37/'tablas turistas por categorías '!H50-1,"-")</f>
        <v>2.8005955169649432E-2</v>
      </c>
      <c r="H37" s="167">
        <f>IFERROR('tablas turistas por categorías '!I37/'tablas turistas por categorías '!I50-1,"-")</f>
        <v>-1.7191208337632879E-2</v>
      </c>
      <c r="I37" s="167">
        <f>IFERROR('tablas turistas por categorías '!J37/'tablas turistas por categorías '!J50-1,"-")</f>
        <v>1.2850677480519934E-2</v>
      </c>
    </row>
    <row r="38" spans="2:9" hidden="1" outlineLevel="1">
      <c r="B38" s="51" t="s">
        <v>44</v>
      </c>
      <c r="C38" s="167">
        <f>IFERROR('tablas turistas por categorías '!D38/'tablas turistas por categorías '!D51-1,"-")</f>
        <v>0.71917191719171925</v>
      </c>
      <c r="D38" s="167">
        <f>IFERROR('tablas turistas por categorías '!E38/'tablas turistas por categorías '!E51-1,"-")</f>
        <v>0.59677681914374081</v>
      </c>
      <c r="E38" s="167">
        <f>IFERROR('tablas turistas por categorías '!F38/'tablas turistas por categorías '!F51-1,"-")</f>
        <v>0.21153954404728403</v>
      </c>
      <c r="F38" s="167">
        <f>IFERROR('tablas turistas por categorías '!G38/'tablas turistas por categorías '!G51-1,"-")</f>
        <v>0.33846270466949657</v>
      </c>
      <c r="G38" s="167">
        <f>IFERROR('tablas turistas por categorías '!H38/'tablas turistas por categorías '!H51-1,"-")</f>
        <v>0.29880827199439186</v>
      </c>
      <c r="H38" s="167">
        <f>IFERROR('tablas turistas por categorías '!I38/'tablas turistas por categorías '!I51-1,"-")</f>
        <v>0.37266857962697264</v>
      </c>
      <c r="I38" s="167">
        <f>IFERROR('tablas turistas por categorías '!J38/'tablas turistas por categorías '!J51-1,"-")</f>
        <v>0.32186036098098647</v>
      </c>
    </row>
    <row r="39" spans="2:9" hidden="1" outlineLevel="1">
      <c r="B39" s="51" t="s">
        <v>45</v>
      </c>
      <c r="C39" s="167">
        <f>IFERROR('tablas turistas por categorías '!D39/'tablas turistas por categorías '!D52-1,"-")</f>
        <v>0.46120313862249351</v>
      </c>
      <c r="D39" s="167">
        <f>IFERROR('tablas turistas por categorías '!E39/'tablas turistas por categorías '!E52-1,"-")</f>
        <v>0.11079706048615034</v>
      </c>
      <c r="E39" s="167">
        <f>IFERROR('tablas turistas por categorías '!F39/'tablas turistas por categorías '!F52-1,"-")</f>
        <v>-7.9480762757752732E-2</v>
      </c>
      <c r="F39" s="167">
        <f>IFERROR('tablas turistas por categorías '!G39/'tablas turistas por categorías '!G52-1,"-")</f>
        <v>-4.8319572043260872E-2</v>
      </c>
      <c r="G39" s="167">
        <f>IFERROR('tablas turistas por categorías '!H39/'tablas turistas por categorías '!H52-1,"-")</f>
        <v>-3.3702360201629977E-2</v>
      </c>
      <c r="H39" s="167">
        <f>IFERROR('tablas turistas por categorías '!I39/'tablas turistas por categorías '!I52-1,"-")</f>
        <v>-6.1834621554615721E-2</v>
      </c>
      <c r="I39" s="167">
        <f>IFERROR('tablas turistas por categorías '!J39/'tablas turistas por categorías '!J52-1,"-")</f>
        <v>-4.3288134119298549E-2</v>
      </c>
    </row>
    <row r="40" spans="2:9" hidden="1" outlineLevel="1">
      <c r="B40" s="51" t="s">
        <v>46</v>
      </c>
      <c r="C40" s="167">
        <f>IFERROR('tablas turistas por categorías '!D40/'tablas turistas por categorías '!D53-1,"-")</f>
        <v>-7.8294910830795983E-2</v>
      </c>
      <c r="D40" s="167">
        <f>IFERROR('tablas turistas por categorías '!E40/'tablas turistas por categorías '!E53-1,"-")</f>
        <v>0.11308619919606966</v>
      </c>
      <c r="E40" s="167">
        <f>IFERROR('tablas turistas por categorías '!F40/'tablas turistas por categorías '!F53-1,"-")</f>
        <v>9.4997458361989029E-2</v>
      </c>
      <c r="F40" s="167">
        <f>IFERROR('tablas turistas por categorías '!G40/'tablas turistas por categorías '!G53-1,"-")</f>
        <v>0.19081199507051894</v>
      </c>
      <c r="G40" s="167">
        <f>IFERROR('tablas turistas por categorías '!H40/'tablas turistas por categorías '!H53-1,"-")</f>
        <v>0.10823970390182791</v>
      </c>
      <c r="H40" s="167">
        <f>IFERROR('tablas turistas por categorías '!I40/'tablas turistas por categorías '!I53-1,"-")</f>
        <v>-3.5162094763092289E-2</v>
      </c>
      <c r="I40" s="167">
        <f>IFERROR('tablas turistas por categorías '!J40/'tablas turistas por categorías '!J53-1,"-")</f>
        <v>5.2170621332828571E-2</v>
      </c>
    </row>
    <row r="41" spans="2:9" hidden="1" outlineLevel="1">
      <c r="B41" s="51" t="s">
        <v>47</v>
      </c>
      <c r="C41" s="167">
        <f>IFERROR('tablas turistas por categorías '!D41/'tablas turistas por categorías '!D54-1,"-")</f>
        <v>4.1251778093883251E-2</v>
      </c>
      <c r="D41" s="167">
        <f>IFERROR('tablas turistas por categorías '!E41/'tablas turistas por categorías '!E54-1,"-")</f>
        <v>0.13020754811799584</v>
      </c>
      <c r="E41" s="167">
        <f>IFERROR('tablas turistas por categorías '!F41/'tablas turistas por categorías '!F54-1,"-")</f>
        <v>0.12900947976062271</v>
      </c>
      <c r="F41" s="167">
        <f>IFERROR('tablas turistas por categorías '!G41/'tablas turistas por categorías '!G54-1,"-")</f>
        <v>3.3719567764614045E-2</v>
      </c>
      <c r="G41" s="167">
        <f>IFERROR('tablas turistas por categorías '!H41/'tablas turistas por categorías '!H54-1,"-")</f>
        <v>0.11172447536083907</v>
      </c>
      <c r="H41" s="167">
        <f>IFERROR('tablas turistas por categorías '!I41/'tablas turistas por categorías '!I54-1,"-")</f>
        <v>0.1104470850611563</v>
      </c>
      <c r="I41" s="167">
        <f>IFERROR('tablas turistas por categorías '!J41/'tablas turistas por categorías '!J54-1,"-")</f>
        <v>0.11124026655923291</v>
      </c>
    </row>
    <row r="42" spans="2:9" hidden="1" outlineLevel="1">
      <c r="B42" s="51" t="s">
        <v>48</v>
      </c>
      <c r="C42" s="167">
        <f>IFERROR('tablas turistas por categorías '!D42/'tablas turistas por categorías '!D55-1,"-")</f>
        <v>-6.7961165048543659E-2</v>
      </c>
      <c r="D42" s="167">
        <f>IFERROR('tablas turistas por categorías '!E42/'tablas turistas por categorías '!E55-1,"-")</f>
        <v>0.14628361989974659</v>
      </c>
      <c r="E42" s="167">
        <f>IFERROR('tablas turistas por categorías '!F42/'tablas turistas por categorías '!F55-1,"-")</f>
        <v>-9.7077171094133163E-3</v>
      </c>
      <c r="F42" s="167">
        <f>IFERROR('tablas turistas por categorías '!G42/'tablas turistas por categorías '!G55-1,"-")</f>
        <v>-4.4825313117996091E-2</v>
      </c>
      <c r="G42" s="167">
        <f>IFERROR('tablas turistas por categorías '!H42/'tablas turistas por categorías '!H55-1,"-")</f>
        <v>1.5510078810930583E-2</v>
      </c>
      <c r="H42" s="167">
        <f>IFERROR('tablas turistas por categorías '!I42/'tablas turistas por categorías '!I55-1,"-")</f>
        <v>-9.5977314452947438E-3</v>
      </c>
      <c r="I42" s="167">
        <f>IFERROR('tablas turistas por categorías '!J42/'tablas turistas por categorías '!J55-1,"-")</f>
        <v>6.0652060939252461E-3</v>
      </c>
    </row>
    <row r="43" spans="2:9" collapsed="1">
      <c r="B43" s="165">
        <v>2008</v>
      </c>
      <c r="C43" s="170">
        <f>IFERROR('tablas turistas por categorías '!D43/'tablas turistas por categorías '!D56-1,"-")</f>
        <v>0.10767429379909266</v>
      </c>
      <c r="D43" s="170">
        <f>IFERROR('tablas turistas por categorías '!E43/'tablas turistas por categorías '!E56-1,"-")</f>
        <v>3.1091557567861861E-2</v>
      </c>
      <c r="E43" s="170">
        <f>IFERROR('tablas turistas por categorías '!F43/'tablas turistas por categorías '!F56-1,"-")</f>
        <v>1.5070000369395098E-2</v>
      </c>
      <c r="F43" s="170">
        <f>IFERROR('tablas turistas por categorías '!G43/'tablas turistas por categorías '!G56-1,"-")</f>
        <v>-4.560509832642845E-2</v>
      </c>
      <c r="G43" s="170">
        <f>IFERROR('tablas turistas por categorías '!H43/'tablas turistas por categorías '!H56-1,"-")</f>
        <v>1.0509631389211904E-2</v>
      </c>
      <c r="H43" s="170">
        <f>IFERROR('tablas turistas por categorías '!I43/'tablas turistas por categorías '!I56-1,"-")</f>
        <v>1.4946209701878654E-2</v>
      </c>
      <c r="I43" s="170">
        <f>IFERROR('tablas turistas por categorías '!J43/'tablas turistas por categorías '!J56-1,"-")</f>
        <v>1.2106957459176781E-2</v>
      </c>
    </row>
    <row r="44" spans="2:9" hidden="1" outlineLevel="1">
      <c r="B44" s="51" t="s">
        <v>37</v>
      </c>
      <c r="C44" s="167">
        <f>IFERROR('tablas turistas por categorías '!D44/'tablas turistas por categorías '!D57-1,"-")</f>
        <v>-0.15554645927138766</v>
      </c>
      <c r="D44" s="167">
        <f>IFERROR('tablas turistas por categorías '!E44/'tablas turistas por categorías '!E57-1,"-")</f>
        <v>2.3260528049460216E-2</v>
      </c>
      <c r="E44" s="167">
        <f>IFERROR('tablas turistas por categorías '!F44/'tablas turistas por categorías '!F57-1,"-")</f>
        <v>-7.2415412772711796E-2</v>
      </c>
      <c r="F44" s="167">
        <f>IFERROR('tablas turistas por categorías '!G44/'tablas turistas por categorías '!G57-1,"-")</f>
        <v>-2.6734150931153056E-2</v>
      </c>
      <c r="G44" s="167">
        <f>IFERROR('tablas turistas por categorías '!H44/'tablas turistas por categorías '!H57-1,"-")</f>
        <v>-4.8365012886597891E-2</v>
      </c>
      <c r="H44" s="167">
        <f>IFERROR('tablas turistas por categorías '!I44/'tablas turistas por categorías '!I57-1,"-")</f>
        <v>-9.0067910312123023E-2</v>
      </c>
      <c r="I44" s="167">
        <f>IFERROR('tablas turistas por categorías '!J44/'tablas turistas por categorías '!J57-1,"-")</f>
        <v>-6.4154295616488111E-2</v>
      </c>
    </row>
    <row r="45" spans="2:9" hidden="1" outlineLevel="1">
      <c r="B45" s="51" t="s">
        <v>38</v>
      </c>
      <c r="C45" s="167">
        <f>IFERROR('tablas turistas por categorías '!D45/'tablas turistas por categorías '!D58-1,"-")</f>
        <v>0.12468827930174564</v>
      </c>
      <c r="D45" s="167">
        <f>IFERROR('tablas turistas por categorías '!E45/'tablas turistas por categorías '!E58-1,"-")</f>
        <v>0.10841207888249804</v>
      </c>
      <c r="E45" s="167">
        <f>IFERROR('tablas turistas por categorías '!F45/'tablas turistas por categorías '!F58-1,"-")</f>
        <v>4.5628948499983446E-2</v>
      </c>
      <c r="F45" s="167">
        <f>IFERROR('tablas turistas por categorías '!G45/'tablas turistas por categorías '!G58-1,"-")</f>
        <v>-0.15109450080085429</v>
      </c>
      <c r="G45" s="167">
        <f>IFERROR('tablas turistas por categorías '!H45/'tablas turistas por categorías '!H58-1,"-")</f>
        <v>2.2746913273668179E-2</v>
      </c>
      <c r="H45" s="167">
        <f>IFERROR('tablas turistas por categorías '!I45/'tablas turistas por categorías '!I58-1,"-")</f>
        <v>0.21723543204852436</v>
      </c>
      <c r="I45" s="167">
        <f>IFERROR('tablas turistas por categorías '!J45/'tablas turistas por categorías '!J58-1,"-")</f>
        <v>8.8654811001076972E-2</v>
      </c>
    </row>
    <row r="46" spans="2:9" hidden="1" outlineLevel="1">
      <c r="B46" s="51" t="s">
        <v>39</v>
      </c>
      <c r="C46" s="167">
        <f>IFERROR('tablas turistas por categorías '!D46/'tablas turistas por categorías '!D59-1,"-")</f>
        <v>-8.807785888077857E-2</v>
      </c>
      <c r="D46" s="167">
        <f>IFERROR('tablas turistas por categorías '!E46/'tablas turistas por categorías '!E59-1,"-")</f>
        <v>8.7898916246316183E-3</v>
      </c>
      <c r="E46" s="167">
        <f>IFERROR('tablas turistas por categorías '!F46/'tablas turistas por categorías '!F59-1,"-")</f>
        <v>-7.7970538275180523E-3</v>
      </c>
      <c r="F46" s="167">
        <f>IFERROR('tablas turistas por categorías '!G46/'tablas turistas por categorías '!G59-1,"-")</f>
        <v>-7.7559570568211611E-2</v>
      </c>
      <c r="G46" s="167">
        <f>IFERROR('tablas turistas por categorías '!H46/'tablas turistas por categorías '!H59-1,"-")</f>
        <v>-1.8106995884773713E-2</v>
      </c>
      <c r="H46" s="167">
        <f>IFERROR('tablas turistas por categorías '!I46/'tablas turistas por categorías '!I59-1,"-")</f>
        <v>-6.2130084865186452E-2</v>
      </c>
      <c r="I46" s="167">
        <f>IFERROR('tablas turistas por categorías '!J46/'tablas turistas por categorías '!J59-1,"-")</f>
        <v>-3.4004104918551881E-2</v>
      </c>
    </row>
    <row r="47" spans="2:9" hidden="1" outlineLevel="1">
      <c r="B47" s="51" t="s">
        <v>40</v>
      </c>
      <c r="C47" s="167">
        <f>IFERROR('tablas turistas por categorías '!D47/'tablas turistas por categorías '!D60-1,"-")</f>
        <v>-7.675791733762749E-2</v>
      </c>
      <c r="D47" s="167">
        <f>IFERROR('tablas turistas por categorías '!E47/'tablas turistas por categorías '!E60-1,"-")</f>
        <v>-5.0246523738297078E-2</v>
      </c>
      <c r="E47" s="167">
        <f>IFERROR('tablas turistas por categorías '!F47/'tablas turistas por categorías '!F60-1,"-")</f>
        <v>-0.12110094425117668</v>
      </c>
      <c r="F47" s="167">
        <f>IFERROR('tablas turistas por categorías '!G47/'tablas turistas por categorías '!G60-1,"-")</f>
        <v>4.5905789859417734E-2</v>
      </c>
      <c r="G47" s="167">
        <f>IFERROR('tablas turistas por categorías '!H47/'tablas turistas por categorías '!H60-1,"-")</f>
        <v>-8.3667998877459238E-2</v>
      </c>
      <c r="H47" s="167">
        <f>IFERROR('tablas turistas por categorías '!I47/'tablas turistas por categorías '!I60-1,"-")</f>
        <v>-0.20929306999651753</v>
      </c>
      <c r="I47" s="167">
        <f>IFERROR('tablas turistas por categorías '!J47/'tablas turistas por categorías '!J60-1,"-")</f>
        <v>-0.12996211195306773</v>
      </c>
    </row>
    <row r="48" spans="2:9" hidden="1" outlineLevel="1">
      <c r="B48" s="51" t="s">
        <v>41</v>
      </c>
      <c r="C48" s="167">
        <f>IFERROR('tablas turistas por categorías '!D48/'tablas turistas por categorías '!D61-1,"-")</f>
        <v>-0.18223495702005732</v>
      </c>
      <c r="D48" s="167">
        <f>IFERROR('tablas turistas por categorías '!E48/'tablas turistas por categorías '!E61-1,"-")</f>
        <v>2.5826951279126709E-2</v>
      </c>
      <c r="E48" s="167">
        <f>IFERROR('tablas turistas por categorías '!F48/'tablas turistas por categorías '!F61-1,"-")</f>
        <v>1.503141753617343E-2</v>
      </c>
      <c r="F48" s="167">
        <f>IFERROR('tablas turistas por categorías '!G48/'tablas turistas por categorías '!G61-1,"-")</f>
        <v>-3.568330345266324E-2</v>
      </c>
      <c r="G48" s="167">
        <f>IFERROR('tablas turistas por categorías '!H48/'tablas turistas por categorías '!H61-1,"-")</f>
        <v>6.5679991502318735E-3</v>
      </c>
      <c r="H48" s="167">
        <f>IFERROR('tablas turistas por categorías '!I48/'tablas turistas por categorías '!I61-1,"-")</f>
        <v>3.8476531481454801E-2</v>
      </c>
      <c r="I48" s="167">
        <f>IFERROR('tablas turistas por categorías '!J48/'tablas turistas por categorías '!J61-1,"-")</f>
        <v>1.8695640244738909E-2</v>
      </c>
    </row>
    <row r="49" spans="2:9" hidden="1" outlineLevel="1">
      <c r="B49" s="51" t="s">
        <v>42</v>
      </c>
      <c r="C49" s="167">
        <f>IFERROR('tablas turistas por categorías '!D49/'tablas turistas por categorías '!D62-1,"-")</f>
        <v>-0.13193403298350825</v>
      </c>
      <c r="D49" s="167">
        <f>IFERROR('tablas turistas por categorías '!E49/'tablas turistas por categorías '!E62-1,"-")</f>
        <v>-8.9131146773967163E-2</v>
      </c>
      <c r="E49" s="167">
        <f>IFERROR('tablas turistas por categorías '!F49/'tablas turistas por categorías '!F62-1,"-")</f>
        <v>3.6643008490272466E-2</v>
      </c>
      <c r="F49" s="167">
        <f>IFERROR('tablas turistas por categorías '!G49/'tablas turistas por categorías '!G62-1,"-")</f>
        <v>4.503604310898579E-2</v>
      </c>
      <c r="G49" s="167">
        <f>IFERROR('tablas turistas por categorías '!H49/'tablas turistas por categorías '!H62-1,"-")</f>
        <v>9.816998858042103E-3</v>
      </c>
      <c r="H49" s="167">
        <f>IFERROR('tablas turistas por categorías '!I49/'tablas turistas por categorías '!I62-1,"-")</f>
        <v>-0.13636007336918177</v>
      </c>
      <c r="I49" s="167">
        <f>IFERROR('tablas turistas por categorías '!J49/'tablas turistas por categorías '!J62-1,"-")</f>
        <v>-4.5686155457932975E-2</v>
      </c>
    </row>
    <row r="50" spans="2:9" hidden="1" outlineLevel="1">
      <c r="B50" s="51" t="s">
        <v>43</v>
      </c>
      <c r="C50" s="167">
        <f>IFERROR('tablas turistas por categorías '!D50/'tablas turistas por categorías '!D63-1,"-")</f>
        <v>5.8436815193572134E-3</v>
      </c>
      <c r="D50" s="167">
        <f>IFERROR('tablas turistas por categorías '!E50/'tablas turistas por categorías '!E63-1,"-")</f>
        <v>-3.0514766089852041E-2</v>
      </c>
      <c r="E50" s="167">
        <f>IFERROR('tablas turistas por categorías '!F50/'tablas turistas por categorías '!F63-1,"-")</f>
        <v>9.6367915527002523E-3</v>
      </c>
      <c r="F50" s="167">
        <f>IFERROR('tablas turistas por categorías '!G50/'tablas turistas por categorías '!G63-1,"-")</f>
        <v>4.1346675975486802E-2</v>
      </c>
      <c r="G50" s="167">
        <f>IFERROR('tablas turistas por categorías '!H50/'tablas turistas por categorías '!H63-1,"-")</f>
        <v>6.159454448320334E-3</v>
      </c>
      <c r="H50" s="167">
        <f>IFERROR('tablas turistas por categorías '!I50/'tablas turistas por categorías '!I63-1,"-")</f>
        <v>-0.12817790892243475</v>
      </c>
      <c r="I50" s="167">
        <f>IFERROR('tablas turistas por categorías '!J50/'tablas turistas por categorías '!J63-1,"-")</f>
        <v>-4.3272732087763721E-2</v>
      </c>
    </row>
    <row r="51" spans="2:9" hidden="1" outlineLevel="1">
      <c r="B51" s="51" t="s">
        <v>44</v>
      </c>
      <c r="C51" s="167">
        <f>IFERROR('tablas turistas por categorías '!D51/'tablas turistas por categorías '!D64-1,"-")</f>
        <v>-0.1758160237388724</v>
      </c>
      <c r="D51" s="167">
        <f>IFERROR('tablas turistas por categorías '!E51/'tablas turistas por categorías '!E64-1,"-")</f>
        <v>-0.28743765224451923</v>
      </c>
      <c r="E51" s="167">
        <f>IFERROR('tablas turistas por categorías '!F51/'tablas turistas por categorías '!F64-1,"-")</f>
        <v>-8.3396395156851932E-2</v>
      </c>
      <c r="F51" s="167">
        <f>IFERROR('tablas turistas por categorías '!G51/'tablas turistas por categorías '!G64-1,"-")</f>
        <v>5.874799357945415E-2</v>
      </c>
      <c r="G51" s="167">
        <f>IFERROR('tablas turistas por categorías '!H51/'tablas turistas por categorías '!H64-1,"-")</f>
        <v>-0.10437921833307173</v>
      </c>
      <c r="H51" s="167">
        <f>IFERROR('tablas turistas por categorías '!I51/'tablas turistas por categorías '!I64-1,"-")</f>
        <v>-0.15953993136072719</v>
      </c>
      <c r="I51" s="167">
        <f>IFERROR('tablas turistas por categorías '!J51/'tablas turistas por categorías '!J64-1,"-")</f>
        <v>-0.12235674662555363</v>
      </c>
    </row>
    <row r="52" spans="2:9" hidden="1" outlineLevel="1">
      <c r="B52" s="51" t="s">
        <v>45</v>
      </c>
      <c r="C52" s="167">
        <f>IFERROR('tablas turistas por categorías '!D52/'tablas turistas por categorías '!D65-1,"-")</f>
        <v>-0.25032679738562091</v>
      </c>
      <c r="D52" s="167">
        <f>IFERROR('tablas turistas por categorías '!E52/'tablas turistas por categorías '!E65-1,"-")</f>
        <v>-0.14341682440463088</v>
      </c>
      <c r="E52" s="167">
        <f>IFERROR('tablas turistas por categorías '!F52/'tablas turistas por categorías '!F65-1,"-")</f>
        <v>-5.2248328663763166E-2</v>
      </c>
      <c r="F52" s="167">
        <f>IFERROR('tablas turistas por categorías '!G52/'tablas turistas por categorías '!G65-1,"-")</f>
        <v>2.0531687633515316E-2</v>
      </c>
      <c r="G52" s="167">
        <f>IFERROR('tablas turistas por categorías '!H52/'tablas turistas por categorías '!H65-1,"-")</f>
        <v>-6.2386812371352574E-2</v>
      </c>
      <c r="H52" s="167">
        <f>IFERROR('tablas turistas por categorías '!I52/'tablas turistas por categorías '!I65-1,"-")</f>
        <v>-9.8430437998192177E-2</v>
      </c>
      <c r="I52" s="167">
        <f>IFERROR('tablas turistas por categorías '!J52/'tablas turistas por categorías '!J65-1,"-")</f>
        <v>-7.4987646660001572E-2</v>
      </c>
    </row>
    <row r="53" spans="2:9" hidden="1" outlineLevel="1">
      <c r="B53" s="51" t="s">
        <v>46</v>
      </c>
      <c r="C53" s="167">
        <f>IFERROR('tablas turistas por categorías '!D53/'tablas turistas por categorías '!D66-1,"-")</f>
        <v>0.28795518207282922</v>
      </c>
      <c r="D53" s="167">
        <f>IFERROR('tablas turistas por categorías '!E53/'tablas turistas por categorías '!E66-1,"-")</f>
        <v>9.6957522904316251E-2</v>
      </c>
      <c r="E53" s="167">
        <f>IFERROR('tablas turistas por categorías '!F53/'tablas turistas por categorías '!F66-1,"-")</f>
        <v>2.5607212953876246E-2</v>
      </c>
      <c r="F53" s="167">
        <f>IFERROR('tablas turistas por categorías '!G53/'tablas turistas por categorías '!G66-1,"-")</f>
        <v>-7.1691877462819353E-2</v>
      </c>
      <c r="G53" s="167">
        <f>IFERROR('tablas turistas por categorías '!H53/'tablas turistas por categorías '!H66-1,"-")</f>
        <v>2.9424311170573647E-2</v>
      </c>
      <c r="H53" s="167">
        <f>IFERROR('tablas turistas por categorías '!I53/'tablas turistas por categorías '!I66-1,"-")</f>
        <v>5.521415414144859E-2</v>
      </c>
      <c r="I53" s="167">
        <f>IFERROR('tablas turistas por categorías '!J53/'tablas turistas por categorías '!J66-1,"-")</f>
        <v>3.9356419412336363E-2</v>
      </c>
    </row>
    <row r="54" spans="2:9" hidden="1" outlineLevel="1">
      <c r="B54" s="51" t="s">
        <v>47</v>
      </c>
      <c r="C54" s="167">
        <f>IFERROR('tablas turistas por categorías '!D54/'tablas turistas por categorías '!D67-1,"-")</f>
        <v>0.20376712328767121</v>
      </c>
      <c r="D54" s="167">
        <f>IFERROR('tablas turistas por categorías '!E54/'tablas turistas por categorías '!E67-1,"-")</f>
        <v>7.3402855117949972E-3</v>
      </c>
      <c r="E54" s="167">
        <f>IFERROR('tablas turistas por categorías '!F54/'tablas turistas por categorías '!F67-1,"-")</f>
        <v>3.9878061748963578E-3</v>
      </c>
      <c r="F54" s="167">
        <f>IFERROR('tablas turistas por categorías '!G54/'tablas turistas por categorías '!G67-1,"-")</f>
        <v>6.8512206997287439E-2</v>
      </c>
      <c r="G54" s="167">
        <f>IFERROR('tablas turistas por categorías '!H54/'tablas turistas por categorías '!H67-1,"-")</f>
        <v>1.8547207626889106E-2</v>
      </c>
      <c r="H54" s="167">
        <f>IFERROR('tablas turistas por categorías '!I54/'tablas turistas por categorías '!I67-1,"-")</f>
        <v>-1.7898699520876082E-2</v>
      </c>
      <c r="I54" s="167">
        <f>IFERROR('tablas turistas por categorías '!J54/'tablas turistas por categorías '!J67-1,"-")</f>
        <v>4.4180569836478334E-3</v>
      </c>
    </row>
    <row r="55" spans="2:9" hidden="1" outlineLevel="1">
      <c r="B55" s="51" t="s">
        <v>48</v>
      </c>
      <c r="C55" s="167">
        <f>IFERROR('tablas turistas por categorías '!D55/'tablas turistas por categorías '!D68-1,"-")</f>
        <v>-5.107252298263143E-4</v>
      </c>
      <c r="D55" s="167">
        <f>IFERROR('tablas turistas por categorías '!E55/'tablas turistas por categorías '!E68-1,"-")</f>
        <v>-9.643013685287094E-2</v>
      </c>
      <c r="E55" s="167">
        <f>IFERROR('tablas turistas por categorías '!F55/'tablas turistas por categorías '!F68-1,"-")</f>
        <v>-7.4082486939027192E-2</v>
      </c>
      <c r="F55" s="167">
        <f>IFERROR('tablas turistas por categorías '!G55/'tablas turistas por categorías '!G68-1,"-")</f>
        <v>0.18218027534851511</v>
      </c>
      <c r="G55" s="167">
        <f>IFERROR('tablas turistas por categorías '!H55/'tablas turistas por categorías '!H68-1,"-")</f>
        <v>-4.6438948930743962E-2</v>
      </c>
      <c r="H55" s="167">
        <f>IFERROR('tablas turistas por categorías '!I55/'tablas turistas por categorías '!I68-1,"-")</f>
        <v>-3.4758044706460378E-2</v>
      </c>
      <c r="I55" s="167">
        <f>IFERROR('tablas turistas por categorías '!J55/'tablas turistas por categorías '!J68-1,"-")</f>
        <v>-4.2078235124584085E-2</v>
      </c>
    </row>
    <row r="56" spans="2:9" collapsed="1">
      <c r="B56" s="165">
        <v>2007</v>
      </c>
      <c r="C56" s="170">
        <f>IFERROR('tablas turistas por categorías '!D56/'tablas turistas por categorías '!D69-1,"-")</f>
        <v>-3.2567140227497959E-2</v>
      </c>
      <c r="D56" s="170">
        <f>IFERROR('tablas turistas por categorías '!E56/'tablas turistas por categorías '!E69-1,"-")</f>
        <v>-3.3285709566596156E-2</v>
      </c>
      <c r="E56" s="170">
        <f>IFERROR('tablas turistas por categorías '!F56/'tablas turistas por categorías '!F69-1,"-")</f>
        <v>-2.2845931124454988E-2</v>
      </c>
      <c r="F56" s="170">
        <f>IFERROR('tablas turistas por categorías '!G56/'tablas turistas por categorías '!G69-1,"-")</f>
        <v>-2.4426149064936675E-3</v>
      </c>
      <c r="G56" s="170">
        <f>IFERROR('tablas turistas por categorías '!H56/'tablas turistas por categorías '!H69-1,"-")</f>
        <v>-2.2021430014617649E-2</v>
      </c>
      <c r="H56" s="170">
        <f>IFERROR('tablas turistas por categorías '!I56/'tablas turistas por categorías '!I69-1,"-")</f>
        <v>-5.1226640787216726E-2</v>
      </c>
      <c r="I56" s="170">
        <f>IFERROR('tablas turistas por categorías '!J56/'tablas turistas por categorías '!J69-1,"-")</f>
        <v>-3.2741212548908383E-2</v>
      </c>
    </row>
    <row r="57" spans="2:9">
      <c r="B57" s="166" t="s">
        <v>32</v>
      </c>
      <c r="C57" s="166"/>
      <c r="D57" s="166"/>
      <c r="E57" s="166"/>
      <c r="F57" s="166"/>
      <c r="G57" s="166"/>
      <c r="H57" s="166"/>
      <c r="I57" s="166"/>
    </row>
  </sheetData>
  <mergeCells count="2">
    <mergeCell ref="B3:I3"/>
    <mergeCell ref="B57:I5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C2:K39"/>
  <sheetViews>
    <sheetView showGridLines="0" showRowColHeaders="0" zoomScaleNormal="100" workbookViewId="0">
      <selection activeCell="B25" sqref="B25"/>
    </sheetView>
  </sheetViews>
  <sheetFormatPr baseColWidth="10" defaultRowHeight="15"/>
  <cols>
    <col min="3" max="3" width="15.85546875" customWidth="1"/>
    <col min="4" max="7" width="9.5703125" customWidth="1"/>
    <col min="9" max="9" width="14.5703125" customWidth="1"/>
  </cols>
  <sheetData>
    <row r="2" spans="3:10" ht="30.75" customHeight="1"/>
    <row r="3" spans="3:10" ht="22.5" customHeight="1">
      <c r="C3" s="171" t="s">
        <v>123</v>
      </c>
      <c r="D3" s="172"/>
      <c r="E3" s="172"/>
      <c r="F3" s="172"/>
      <c r="G3" s="172"/>
      <c r="H3" s="172"/>
      <c r="I3" s="172"/>
      <c r="J3" s="172"/>
    </row>
    <row r="4" spans="3:10">
      <c r="C4" s="173">
        <v>2009</v>
      </c>
      <c r="D4" s="174"/>
      <c r="E4" s="174"/>
      <c r="F4" s="174"/>
      <c r="G4" s="174"/>
      <c r="H4" s="174"/>
      <c r="I4" s="174"/>
      <c r="J4" s="174"/>
    </row>
    <row r="5" spans="3:10" ht="36.75" customHeight="1">
      <c r="C5" s="175" t="s">
        <v>124</v>
      </c>
      <c r="D5" s="128" t="s">
        <v>125</v>
      </c>
      <c r="E5" s="128" t="s">
        <v>115</v>
      </c>
      <c r="F5" s="128" t="s">
        <v>116</v>
      </c>
      <c r="G5" s="128" t="s">
        <v>117</v>
      </c>
      <c r="H5" s="162" t="s">
        <v>122</v>
      </c>
      <c r="I5" s="162" t="s">
        <v>35</v>
      </c>
      <c r="J5" s="162" t="s">
        <v>36</v>
      </c>
    </row>
    <row r="6" spans="3:10">
      <c r="C6" s="176" t="s">
        <v>57</v>
      </c>
      <c r="D6" s="177">
        <f>GETPIVOTDATA("dato",'[1]Evolución mensual categoría'!$A$4,"categoría","1* y 2 *","mes",1,"año",2009)</f>
        <v>1282</v>
      </c>
      <c r="E6" s="177">
        <f>GETPIVOTDATA("dato",'[1]Evolución mensual categoría'!$A$4,"categoría","3 *","mes",1,"año",2009)</f>
        <v>17039</v>
      </c>
      <c r="F6" s="177">
        <f>GETPIVOTDATA("dato",'[1]Evolución mensual categoría'!$A$4,"categoría","4 *","mes",1,"año",2009)</f>
        <v>54287</v>
      </c>
      <c r="G6" s="177">
        <f>GETPIVOTDATA("dato",'[1]Evolución mensual categoría'!$A$4,"categoría","5 *","mes",1,"año",2009)</f>
        <v>10634</v>
      </c>
      <c r="H6" s="177">
        <f>GETPIVOTDATA("dato",'[1]Evolución mensual categoría'!$A$4,"categoría","HOTELEROS","mes",1,"año",2009)</f>
        <v>83242</v>
      </c>
      <c r="I6" s="177">
        <f>GETPIVOTDATA("dato",'[1]Evolución mensual categoría'!$A$4,"categoría","EXTRAHOTELEROS","mes",1,"año",2009)</f>
        <v>53102</v>
      </c>
      <c r="J6" s="177">
        <f>GETPIVOTDATA("dato",'[1]Evolución mensual categoría'!$A$4,"categoría","TOTAL","mes",1,"año",2009)</f>
        <v>136344</v>
      </c>
    </row>
    <row r="7" spans="3:10">
      <c r="C7" s="178" t="s">
        <v>58</v>
      </c>
      <c r="D7" s="129">
        <f>GETPIVOTDATA("dato",'[1]Evolución mensual categoría'!$A$4,"categoría","1* y 2 *","mes",2,"año",2009)</f>
        <v>1242</v>
      </c>
      <c r="E7" s="129">
        <f>GETPIVOTDATA("dato",'[1]Evolución mensual categoría'!$A$4,"categoría","3 *","mes",2,"año",2009)</f>
        <v>17011</v>
      </c>
      <c r="F7" s="129">
        <f>GETPIVOTDATA("dato",'[1]Evolución mensual categoría'!$A$4,"categoría","4 *","mes",2,"año",2009)</f>
        <v>53163</v>
      </c>
      <c r="G7" s="129">
        <f>GETPIVOTDATA("dato",'[1]Evolución mensual categoría'!$A$4,"categoría","5 *","mes",2,"año",2009)</f>
        <v>12365</v>
      </c>
      <c r="H7" s="129">
        <f>GETPIVOTDATA("dato",'[1]Evolución mensual categoría'!$A$4,"categoría","HOTELEROS","mes",2,"año",2009)</f>
        <v>83781</v>
      </c>
      <c r="I7" s="129">
        <f>GETPIVOTDATA("dato",'[1]Evolución mensual categoría'!$A$4,"categoría","EXTRAHOTELEROS","mes",2,"año",2009)</f>
        <v>50011</v>
      </c>
      <c r="J7" s="129">
        <f>GETPIVOTDATA("dato",'[1]Evolución mensual categoría'!$A$4,"categoría","TOTAL","mes",2,"año",2009)</f>
        <v>133792</v>
      </c>
    </row>
    <row r="8" spans="3:10">
      <c r="C8" s="178" t="s">
        <v>59</v>
      </c>
      <c r="D8" s="129">
        <f>GETPIVOTDATA("dato",'[1]Evolución mensual categoría'!$A$4,"categoría","1* y 2 *","mes",3,"año",2009)</f>
        <v>1760</v>
      </c>
      <c r="E8" s="129">
        <f>GETPIVOTDATA("dato",'[1]Evolución mensual categoría'!$A$4,"categoría","3 *","mes",3,"año",2009)</f>
        <v>18443</v>
      </c>
      <c r="F8" s="129">
        <f>GETPIVOTDATA("dato",'[1]Evolución mensual categoría'!$A$4,"categoría","4 *","mes",3,"año",2009)</f>
        <v>53343</v>
      </c>
      <c r="G8" s="129">
        <f>GETPIVOTDATA("dato",'[1]Evolución mensual categoría'!$A$4,"categoría","5 *","mes",3,"año",2009)</f>
        <v>11585</v>
      </c>
      <c r="H8" s="129">
        <f>GETPIVOTDATA("dato",'[1]Evolución mensual categoría'!$A$4,"categoría","HOTELEROS","mes",3,"año",2009)</f>
        <v>85131</v>
      </c>
      <c r="I8" s="129">
        <f>GETPIVOTDATA("dato",'[1]Evolución mensual categoría'!$A$4,"categoría","EXTRAHOTELEROS","mes",3,"año",2009)</f>
        <v>49940</v>
      </c>
      <c r="J8" s="129">
        <f>GETPIVOTDATA("dato",'[1]Evolución mensual categoría'!$A$4,"categoría","TOTAL","mes",3,"año",2009)</f>
        <v>135071</v>
      </c>
    </row>
    <row r="9" spans="3:10">
      <c r="C9" s="178" t="s">
        <v>60</v>
      </c>
      <c r="D9" s="129">
        <f>GETPIVOTDATA("dato",'[1]Evolución mensual categoría'!$A$4,"categoría","1* y 2 *","mes",4,"año",2009)</f>
        <v>1358</v>
      </c>
      <c r="E9" s="129">
        <f>GETPIVOTDATA("dato",'[1]Evolución mensual categoría'!$A$4,"categoría","3 *","mes",4,"año",2009)</f>
        <v>16283</v>
      </c>
      <c r="F9" s="129">
        <f>GETPIVOTDATA("dato",'[1]Evolución mensual categoría'!$A$4,"categoría","4 *","mes",4,"año",2009)</f>
        <v>60403</v>
      </c>
      <c r="G9" s="129">
        <f>GETPIVOTDATA("dato",'[1]Evolución mensual categoría'!$A$4,"categoría","5 *","mes",4,"año",2009)</f>
        <v>13100</v>
      </c>
      <c r="H9" s="129">
        <f>GETPIVOTDATA("dato",'[1]Evolución mensual categoría'!$A$4,"categoría","HOTELEROS","mes",4,"año",2009)</f>
        <v>91144</v>
      </c>
      <c r="I9" s="129">
        <f>GETPIVOTDATA("dato",'[1]Evolución mensual categoría'!$A$4,"categoría","EXTRAHOTELEROS","mes",4,"año",2009)</f>
        <v>51883</v>
      </c>
      <c r="J9" s="129">
        <f>GETPIVOTDATA("dato",'[1]Evolución mensual categoría'!$A$4,"categoría","TOTAL","mes",4,"año",2009)</f>
        <v>143027</v>
      </c>
    </row>
    <row r="10" spans="3:10">
      <c r="C10" s="178" t="s">
        <v>61</v>
      </c>
      <c r="D10" s="129">
        <f>GETPIVOTDATA("dato",'[1]Evolución mensual categoría'!$A$4,"categoría","1* y 2 *","mes",5,"año",2009)</f>
        <v>1288</v>
      </c>
      <c r="E10" s="129">
        <f>GETPIVOTDATA("dato",'[1]Evolución mensual categoría'!$A$4,"categoría","3 *","mes",5,"año",2009)</f>
        <v>13457</v>
      </c>
      <c r="F10" s="129">
        <f>GETPIVOTDATA("dato",'[1]Evolución mensual categoría'!$A$4,"categoría","4 *","mes",5,"año",2009)</f>
        <v>57767</v>
      </c>
      <c r="G10" s="129">
        <f>GETPIVOTDATA("dato",'[1]Evolución mensual categoría'!$A$4,"categoría","5 *","mes",5,"año",2009)</f>
        <v>11823</v>
      </c>
      <c r="H10" s="129">
        <f>GETPIVOTDATA("dato",'[1]Evolución mensual categoría'!$A$4,"categoría","HOTELEROS","mes",5,"año",2009)</f>
        <v>84335</v>
      </c>
      <c r="I10" s="129">
        <f>GETPIVOTDATA("dato",'[1]Evolución mensual categoría'!$A$4,"categoría","EXTRAHOTELEROS","mes",5,"año",2009)</f>
        <v>39550</v>
      </c>
      <c r="J10" s="129">
        <f>GETPIVOTDATA("dato",'[1]Evolución mensual categoría'!$A$4,"categoría","TOTAL","mes",5,"año",2009)</f>
        <v>123885</v>
      </c>
    </row>
    <row r="11" spans="3:10">
      <c r="C11" s="178" t="s">
        <v>62</v>
      </c>
      <c r="D11" s="129">
        <f>GETPIVOTDATA("dato",'[1]Evolución mensual categoría'!$A$4,"categoría","1* y 2 *","mes",6,"año",2009)</f>
        <v>1126</v>
      </c>
      <c r="E11" s="129">
        <f>GETPIVOTDATA("dato",'[1]Evolución mensual categoría'!$A$4,"categoría","3 *","mes",6,"año",2009)</f>
        <v>13787</v>
      </c>
      <c r="F11" s="129">
        <f>GETPIVOTDATA("dato",'[1]Evolución mensual categoría'!$A$4,"categoría","4 *","mes",6,"año",2009)</f>
        <v>54297</v>
      </c>
      <c r="G11" s="129">
        <f>GETPIVOTDATA("dato",'[1]Evolución mensual categoría'!$A$4,"categoría","5 *","mes",6,"año",2009)</f>
        <v>10632</v>
      </c>
      <c r="H11" s="129">
        <f>GETPIVOTDATA("dato",'[1]Evolución mensual categoría'!$A$4,"categoría","HOTELEROS","mes",6,"año",2009)</f>
        <v>79842</v>
      </c>
      <c r="I11" s="129">
        <f>GETPIVOTDATA("dato",'[1]Evolución mensual categoría'!$A$4,"categoría","EXTRAHOTELEROS","mes",6,"año",2009)</f>
        <v>41545</v>
      </c>
      <c r="J11" s="129">
        <f>GETPIVOTDATA("dato",'[1]Evolución mensual categoría'!$A$4,"categoría","TOTAL","mes",6,"año",2009)</f>
        <v>121387</v>
      </c>
    </row>
    <row r="12" spans="3:10">
      <c r="C12" s="178" t="s">
        <v>63</v>
      </c>
      <c r="D12" s="129">
        <f>GETPIVOTDATA("dato",'[1]Evolución mensual categoría'!$A$4,"categoría","1* y 2 *","mes",7,"año",2009)</f>
        <v>1613</v>
      </c>
      <c r="E12" s="129">
        <f>GETPIVOTDATA("dato",'[1]Evolución mensual categoría'!$A$4,"categoría","3 *","mes",7,"año",2009)</f>
        <v>15464</v>
      </c>
      <c r="F12" s="129">
        <f>GETPIVOTDATA("dato",'[1]Evolución mensual categoría'!$A$4,"categoría","4 *","mes",7,"año",2009)</f>
        <v>68220</v>
      </c>
      <c r="G12" s="129">
        <f>GETPIVOTDATA("dato",'[1]Evolución mensual categoría'!$A$4,"categoría","5 *","mes",7,"año",2009)</f>
        <v>12626</v>
      </c>
      <c r="H12" s="129">
        <f>GETPIVOTDATA("dato",'[1]Evolución mensual categoría'!$A$4,"categoría","HOTELEROS","mes",7,"año",2009)</f>
        <v>97923</v>
      </c>
      <c r="I12" s="129">
        <f>GETPIVOTDATA("dato",'[1]Evolución mensual categoría'!$A$4,"categoría","EXTRAHOTELEROS","mes",7,"año",2009)</f>
        <v>54409</v>
      </c>
      <c r="J12" s="129">
        <f>GETPIVOTDATA("dato",'[1]Evolución mensual categoría'!$A$4,"categoría","TOTAL","mes",7,"año",2009)</f>
        <v>152332</v>
      </c>
    </row>
    <row r="13" spans="3:10">
      <c r="C13" s="178" t="s">
        <v>64</v>
      </c>
      <c r="D13" s="129">
        <f>GETPIVOTDATA("dato",'[1]Evolución mensual categoría'!$A$4,"categoría","1* y 2 *","mes",8,"año",2009)</f>
        <v>1392</v>
      </c>
      <c r="E13" s="129">
        <f>GETPIVOTDATA("dato",'[1]Evolución mensual categoría'!$A$4,"categoría","3 *","mes",8,"año",2009)</f>
        <v>15243</v>
      </c>
      <c r="F13" s="129">
        <f>GETPIVOTDATA("dato",'[1]Evolución mensual categoría'!$A$4,"categoría","4 *","mes",8,"año",2009)</f>
        <v>72347</v>
      </c>
      <c r="G13" s="129">
        <f>GETPIVOTDATA("dato",'[1]Evolución mensual categoría'!$A$4,"categoría","5 *","mes",8,"año",2009)</f>
        <v>14013</v>
      </c>
      <c r="H13" s="129">
        <f>GETPIVOTDATA("dato",'[1]Evolución mensual categoría'!$A$4,"categoría","HOTELEROS","mes",8,"año",2009)</f>
        <v>102995</v>
      </c>
      <c r="I13" s="129">
        <f>GETPIVOTDATA("dato",'[1]Evolución mensual categoría'!$A$4,"categoría","EXTRAHOTELEROS","mes",8,"año",2009)</f>
        <v>67265</v>
      </c>
      <c r="J13" s="129">
        <f>GETPIVOTDATA("dato",'[1]Evolución mensual categoría'!$A$4,"categoría","TOTAL","mes",8,"año",2009)</f>
        <v>170260</v>
      </c>
    </row>
    <row r="14" spans="3:10" ht="15.75" customHeight="1">
      <c r="C14" s="178" t="s">
        <v>65</v>
      </c>
      <c r="D14" s="129">
        <f>GETPIVOTDATA("dato",'[1]Evolución mensual categoría'!$A$4,"categoría","1* y 2 *","mes",9,"año",2009)</f>
        <v>1294</v>
      </c>
      <c r="E14" s="129">
        <f>GETPIVOTDATA("dato",'[1]Evolución mensual categoría'!$A$4,"categoría","3 *","mes",9,"año",2009)</f>
        <v>9960</v>
      </c>
      <c r="F14" s="129">
        <f>GETPIVOTDATA("dato",'[1]Evolución mensual categoría'!$A$4,"categoría","4 *","mes",9,"año",2009)</f>
        <v>56900</v>
      </c>
      <c r="G14" s="129">
        <f>GETPIVOTDATA("dato",'[1]Evolución mensual categoría'!$A$4,"categoría","5 *","mes",9,"año",2009)</f>
        <v>11308</v>
      </c>
      <c r="H14" s="129">
        <f>GETPIVOTDATA("dato",'[1]Evolución mensual categoría'!$A$4,"categoría","HOTELEROS","mes",9,"año",2009)</f>
        <v>79462</v>
      </c>
      <c r="I14" s="129">
        <f>GETPIVOTDATA("dato",'[1]Evolución mensual categoría'!$A$4,"categoría","EXTRAHOTELEROS","mes",9,"año",2009)</f>
        <v>45133</v>
      </c>
      <c r="J14" s="129">
        <f>GETPIVOTDATA("dato",'[1]Evolución mensual categoría'!$A$4,"categoría","TOTAL","mes",9,"año",2009)</f>
        <v>124595</v>
      </c>
    </row>
    <row r="15" spans="3:10">
      <c r="C15" s="178" t="s">
        <v>66</v>
      </c>
      <c r="D15" s="129">
        <f>GETPIVOTDATA("dato",'[1]Evolución mensual categoría'!$A$4,"categoría","1* y 2 *","mes",10,"año",2009)</f>
        <v>1253</v>
      </c>
      <c r="E15" s="129">
        <f>GETPIVOTDATA("dato",'[1]Evolución mensual categoría'!$A$4,"categoría","3 *","mes",10,"año",2009)</f>
        <v>12508</v>
      </c>
      <c r="F15" s="129">
        <f>GETPIVOTDATA("dato",'[1]Evolución mensual categoría'!$A$4,"categoría","4 *","mes",10,"año",2009)</f>
        <v>66680</v>
      </c>
      <c r="G15" s="129">
        <f>GETPIVOTDATA("dato",'[1]Evolución mensual categoría'!$A$4,"categoría","5 *","mes",10,"año",2009)</f>
        <v>13573</v>
      </c>
      <c r="H15" s="129">
        <f>GETPIVOTDATA("dato",'[1]Evolución mensual categoría'!$A$4,"categoría","HOTELEROS","mes",10,"año",2009)</f>
        <v>94014</v>
      </c>
      <c r="I15" s="129">
        <f>GETPIVOTDATA("dato",'[1]Evolución mensual categoría'!$A$4,"categoría","EXTRAHOTELEROS","mes",10,"año",2009)</f>
        <v>51344</v>
      </c>
      <c r="J15" s="129">
        <f>GETPIVOTDATA("dato",'[1]Evolución mensual categoría'!$A$4,"categoría","TOTAL","mes",10,"año",2009)</f>
        <v>145358</v>
      </c>
    </row>
    <row r="16" spans="3:10">
      <c r="C16" s="178" t="s">
        <v>67</v>
      </c>
      <c r="D16" s="129">
        <f>GETPIVOTDATA("dato",'[1]Evolución mensual categoría'!$A$4,"categoría","1* y 2 *","mes",11,"año",2009)</f>
        <v>1217</v>
      </c>
      <c r="E16" s="129">
        <f>GETPIVOTDATA("dato",'[1]Evolución mensual categoría'!$A$4,"categoría","3 *","mes",11,"año",2009)</f>
        <v>14992</v>
      </c>
      <c r="F16" s="129">
        <f>GETPIVOTDATA("dato",'[1]Evolución mensual categoría'!$A$4,"categoría","4 *","mes",11,"año",2009)</f>
        <v>57335</v>
      </c>
      <c r="G16" s="129">
        <f>GETPIVOTDATA("dato",'[1]Evolución mensual categoría'!$A$4,"categoría","5 *","mes",11,"año",2009)</f>
        <v>11957</v>
      </c>
      <c r="H16" s="129">
        <f>GETPIVOTDATA("dato",'[1]Evolución mensual categoría'!$A$4,"categoría","HOTELEROS","mes",11,"año",2009)</f>
        <v>85501</v>
      </c>
      <c r="I16" s="129">
        <f>GETPIVOTDATA("dato",'[1]Evolución mensual categoría'!$A$4,"categoría","EXTRAHOTELEROS","mes",11,"año",2009)</f>
        <v>45406</v>
      </c>
      <c r="J16" s="129">
        <f>GETPIVOTDATA("dato",'[1]Evolución mensual categoría'!$A$4,"categoría","TOTAL","mes",11,"año",2009)</f>
        <v>130907</v>
      </c>
    </row>
    <row r="17" spans="3:11">
      <c r="C17" s="178" t="s">
        <v>68</v>
      </c>
      <c r="D17" s="129">
        <f>GETPIVOTDATA("dato",'[1]Evolución mensual categoría'!$A$4,"categoría","1* y 2 *","mes",12,"año",2009)</f>
        <v>1377</v>
      </c>
      <c r="E17" s="129">
        <f>GETPIVOTDATA("dato",'[1]Evolución mensual categoría'!$A$4,"categoría","3 *","mes",12,"año",2009)</f>
        <v>13734</v>
      </c>
      <c r="F17" s="129">
        <f>GETPIVOTDATA("dato",'[1]Evolución mensual categoría'!$A$4,"categoría","4 *","mes",12,"año",2009)</f>
        <v>58249</v>
      </c>
      <c r="G17" s="129">
        <f>GETPIVOTDATA("dato",'[1]Evolución mensual categoría'!$A$4,"categoría","5 *","mes",12,"año",2009)</f>
        <v>11710</v>
      </c>
      <c r="H17" s="129">
        <f>GETPIVOTDATA("dato",'[1]Evolución mensual categoría'!$A$4,"categoría","HOTELEROS","mes",12,"año",2009)</f>
        <v>85070</v>
      </c>
      <c r="I17" s="129">
        <f>GETPIVOTDATA("dato",'[1]Evolución mensual categoría'!$A$4,"categoría","EXTRAHOTELEROS","mes",12,"año",2009)</f>
        <v>47003</v>
      </c>
      <c r="J17" s="129">
        <f>GETPIVOTDATA("dato",'[1]Evolución mensual categoría'!$A$4,"categoría","TOTAL","mes",12,"año",2009)</f>
        <v>132073</v>
      </c>
    </row>
    <row r="18" spans="3:11" ht="15.75" thickBot="1">
      <c r="C18" s="179" t="s">
        <v>102</v>
      </c>
      <c r="D18" s="153">
        <f>GETPIVOTDATA("dato",'[1]Evolución mensual categoría'!$A$4,"categoría","1* y 2 *","año",2009)</f>
        <v>16202</v>
      </c>
      <c r="E18" s="153">
        <f>GETPIVOTDATA("dato",'[1]Evolución mensual categoría'!$A$4,"categoría","3 *","año",2009)</f>
        <v>177921</v>
      </c>
      <c r="F18" s="153">
        <f>GETPIVOTDATA("dato",'[1]Evolución mensual categoría'!$A$4,"categoría","4 *","año",2009)</f>
        <v>712991</v>
      </c>
      <c r="G18" s="153">
        <f>GETPIVOTDATA("dato",'[1]Evolución mensual categoría'!$A$4,"categoría","5 *","año",2009)</f>
        <v>145326</v>
      </c>
      <c r="H18" s="153">
        <f>GETPIVOTDATA("dato",'[1]Evolución mensual categoría'!$A$4,"categoría","HOTELEROS","año",2009)</f>
        <v>1052440</v>
      </c>
      <c r="I18" s="153">
        <f>GETPIVOTDATA("dato",'[1]Evolución mensual categoría'!$A$4,"categoría","EXTRAHOTELEROS","año",2009)</f>
        <v>596591</v>
      </c>
      <c r="J18" s="153">
        <f>GETPIVOTDATA("dato",'[1]Evolución mensual categoría'!$A$4,"categoría","TOTAL","año",2009)</f>
        <v>1649031</v>
      </c>
    </row>
    <row r="19" spans="3:11" ht="16.5" thickBot="1">
      <c r="C19" s="136" t="s">
        <v>32</v>
      </c>
      <c r="D19" s="137"/>
      <c r="E19" s="137"/>
      <c r="F19" s="137"/>
      <c r="G19" s="137"/>
      <c r="H19" s="137"/>
      <c r="I19" s="137"/>
      <c r="J19" s="138"/>
      <c r="K19" s="60" t="s">
        <v>49</v>
      </c>
    </row>
    <row r="23" spans="3:11">
      <c r="C23" s="171" t="s">
        <v>123</v>
      </c>
      <c r="D23" s="172"/>
      <c r="E23" s="172"/>
      <c r="F23" s="172"/>
      <c r="G23" s="172"/>
      <c r="H23" s="172"/>
      <c r="I23" s="172"/>
      <c r="J23" s="172"/>
    </row>
    <row r="24" spans="3:11">
      <c r="C24" s="173">
        <v>2010</v>
      </c>
      <c r="D24" s="174"/>
      <c r="E24" s="174"/>
      <c r="F24" s="174"/>
      <c r="G24" s="174"/>
      <c r="H24" s="174"/>
      <c r="I24" s="174"/>
      <c r="J24" s="174"/>
    </row>
    <row r="25" spans="3:11" ht="30">
      <c r="C25" s="175" t="s">
        <v>124</v>
      </c>
      <c r="D25" s="128" t="s">
        <v>125</v>
      </c>
      <c r="E25" s="128" t="s">
        <v>115</v>
      </c>
      <c r="F25" s="128" t="s">
        <v>116</v>
      </c>
      <c r="G25" s="128" t="s">
        <v>117</v>
      </c>
      <c r="H25" s="162" t="s">
        <v>122</v>
      </c>
      <c r="I25" s="162" t="s">
        <v>35</v>
      </c>
      <c r="J25" s="162" t="s">
        <v>36</v>
      </c>
    </row>
    <row r="26" spans="3:11">
      <c r="C26" s="176" t="s">
        <v>57</v>
      </c>
      <c r="D26" s="177">
        <f>GETPIVOTDATA("dato",'[1]Evolución mensual categoría'!$A$4,"categoría","1* y 2 *","mes",1,"año",2010)</f>
        <v>1566</v>
      </c>
      <c r="E26" s="177">
        <f>GETPIVOTDATA("dato",'[1]Evolución mensual categoría'!$A$4,"categoría","3 *","mes",1,"año",2010)</f>
        <v>14414</v>
      </c>
      <c r="F26" s="177">
        <f>GETPIVOTDATA("dato",'[1]Evolución mensual categoría'!$A$4,"categoría","4 *","mes",1,"año",2010)</f>
        <v>57883</v>
      </c>
      <c r="G26" s="177">
        <f>GETPIVOTDATA("dato",'[1]Evolución mensual categoría'!$A$4,"categoría","5 *","mes",1,"año",2010)</f>
        <v>11352</v>
      </c>
      <c r="H26" s="177">
        <f>GETPIVOTDATA("dato",'[1]Evolución mensual categoría'!$A$4,"categoría","HOTELEROS","mes",1,"año",2010)</f>
        <v>85215</v>
      </c>
      <c r="I26" s="177">
        <f>GETPIVOTDATA("dato",'[1]Evolución mensual categoría'!$A$4,"categoría","EXTRAHOTELEROS","mes",1,"año",2010)</f>
        <v>46322</v>
      </c>
      <c r="J26" s="177">
        <f>GETPIVOTDATA("dato",'[1]Evolución mensual categoría'!$A$4,"categoría","TOTAL","mes",1,"año",2010)</f>
        <v>131537</v>
      </c>
    </row>
    <row r="27" spans="3:11">
      <c r="C27" s="178" t="s">
        <v>58</v>
      </c>
      <c r="D27" s="129">
        <f>GETPIVOTDATA("dato",'[1]Evolución mensual categoría'!$A$4,"categoría","1* y 2 *","mes",2,"año",2010)</f>
        <v>1245</v>
      </c>
      <c r="E27" s="129">
        <f>GETPIVOTDATA("dato",'[1]Evolución mensual categoría'!$A$4,"categoría","3 *","mes",2,"año",2010)</f>
        <v>13521</v>
      </c>
      <c r="F27" s="129">
        <f>GETPIVOTDATA("dato",'[1]Evolución mensual categoría'!$A$4,"categoría","4 *","mes",2,"año",2010)</f>
        <v>55002</v>
      </c>
      <c r="G27" s="129">
        <f>GETPIVOTDATA("dato",'[1]Evolución mensual categoría'!$A$4,"categoría","5 *","mes",2,"año",2010)</f>
        <v>12248</v>
      </c>
      <c r="H27" s="129">
        <f>GETPIVOTDATA("dato",'[1]Evolución mensual categoría'!$A$4,"categoría","HOTELEROS","mes",2,"año",2010)</f>
        <v>82016</v>
      </c>
      <c r="I27" s="129">
        <f>GETPIVOTDATA("dato",'[1]Evolución mensual categoría'!$A$4,"categoría","EXTRAHOTELEROS","mes",2,"año",2010)</f>
        <v>43403</v>
      </c>
      <c r="J27" s="129">
        <f>GETPIVOTDATA("dato",'[1]Evolución mensual categoría'!$A$4,"categoría","TOTAL","mes",2,"año",2010)</f>
        <v>125419</v>
      </c>
    </row>
    <row r="28" spans="3:11">
      <c r="C28" s="178" t="s">
        <v>59</v>
      </c>
      <c r="D28" s="129">
        <f>GETPIVOTDATA("dato",'[1]Evolución mensual categoría'!$A$4,"categoría","1* y 2 *","mes",3,"año",2010)</f>
        <v>1288</v>
      </c>
      <c r="E28" s="129">
        <f>GETPIVOTDATA("dato",'[1]Evolución mensual categoría'!$A$4,"categoría","3 *","mes",3,"año",2010)</f>
        <v>14801</v>
      </c>
      <c r="F28" s="129">
        <f>GETPIVOTDATA("dato",'[1]Evolución mensual categoría'!$A$4,"categoría","4 *","mes",3,"año",2010)</f>
        <v>60015</v>
      </c>
      <c r="G28" s="129">
        <f>GETPIVOTDATA("dato",'[1]Evolución mensual categoría'!$A$4,"categoría","5 *","mes",3,"año",2010)</f>
        <v>14476</v>
      </c>
      <c r="H28" s="129">
        <f>GETPIVOTDATA("dato",'[1]Evolución mensual categoría'!$A$4,"categoría","HOTELEROS","mes",3,"año",2010)</f>
        <v>90580</v>
      </c>
      <c r="I28" s="129">
        <f>GETPIVOTDATA("dato",'[1]Evolución mensual categoría'!$A$4,"categoría","EXTRAHOTELEROS","mes",3,"año",2010)</f>
        <v>49749</v>
      </c>
      <c r="J28" s="129">
        <f>GETPIVOTDATA("dato",'[1]Evolución mensual categoría'!$A$4,"categoría","TOTAL","mes",3,"año",2010)</f>
        <v>140329</v>
      </c>
    </row>
    <row r="29" spans="3:11">
      <c r="C29" s="178" t="s">
        <v>60</v>
      </c>
      <c r="D29" s="129">
        <f>GETPIVOTDATA("dato",'[1]Evolución mensual categoría'!$A$4,"categoría","1* y 2 *","mes",4,"año",2010)</f>
        <v>1424</v>
      </c>
      <c r="E29" s="129">
        <f>GETPIVOTDATA("dato",'[1]Evolución mensual categoría'!$A$4,"categoría","3 *","mes",4,"año",2010)</f>
        <v>15570</v>
      </c>
      <c r="F29" s="129">
        <f>GETPIVOTDATA("dato",'[1]Evolución mensual categoría'!$A$4,"categoría","4 *","mes",4,"año",2010)</f>
        <v>71499</v>
      </c>
      <c r="G29" s="129">
        <f>GETPIVOTDATA("dato",'[1]Evolución mensual categoría'!$A$4,"categoría","5 *","mes",4,"año",2010)</f>
        <v>14384</v>
      </c>
      <c r="H29" s="129">
        <f>GETPIVOTDATA("dato",'[1]Evolución mensual categoría'!$A$4,"categoría","HOTELEROS","mes",4,"año",2010)</f>
        <v>102877</v>
      </c>
      <c r="I29" s="129">
        <f>GETPIVOTDATA("dato",'[1]Evolución mensual categoría'!$A$4,"categoría","EXTRAHOTELEROS","mes",4,"año",2010)</f>
        <v>53734</v>
      </c>
      <c r="J29" s="129">
        <f>GETPIVOTDATA("dato",'[1]Evolución mensual categoría'!$A$4,"categoría","TOTAL","mes",4,"año",2010)</f>
        <v>156611</v>
      </c>
    </row>
    <row r="30" spans="3:11">
      <c r="C30" s="178" t="s">
        <v>61</v>
      </c>
      <c r="D30" s="129">
        <f>GETPIVOTDATA("dato",'[1]Evolución mensual categoría'!$A$4,"categoría","1* y 2 *","mes",5,"año",2010)</f>
        <v>1283</v>
      </c>
      <c r="E30" s="129">
        <f>GETPIVOTDATA("dato",'[1]Evolución mensual categoría'!$A$4,"categoría","3 *","mes",5,"año",2010)</f>
        <v>14729</v>
      </c>
      <c r="F30" s="129">
        <f>GETPIVOTDATA("dato",'[1]Evolución mensual categoría'!$A$4,"categoría","4 *","mes",5,"año",2010)</f>
        <v>62485</v>
      </c>
      <c r="G30" s="129">
        <f>GETPIVOTDATA("dato",'[1]Evolución mensual categoría'!$A$4,"categoría","5 *","mes",5,"año",2010)</f>
        <v>14143</v>
      </c>
      <c r="H30" s="129">
        <f>GETPIVOTDATA("dato",'[1]Evolución mensual categoría'!$A$4,"categoría","HOTELEROS","mes",5,"año",2010)</f>
        <v>92640</v>
      </c>
      <c r="I30" s="129">
        <f>GETPIVOTDATA("dato",'[1]Evolución mensual categoría'!$A$4,"categoría","EXTRAHOTELEROS","mes",5,"año",2010)</f>
        <v>39879</v>
      </c>
      <c r="J30" s="129">
        <f>GETPIVOTDATA("dato",'[1]Evolución mensual categoría'!$A$4,"categoría","TOTAL","mes",5,"año",2010)</f>
        <v>132519</v>
      </c>
    </row>
    <row r="31" spans="3:11">
      <c r="C31" s="178" t="s">
        <v>62</v>
      </c>
      <c r="D31" s="129">
        <f>GETPIVOTDATA("dato",'[1]Evolución mensual categoría'!$A$4,"categoría","1* y 2 *","mes",6,"año",2010)</f>
        <v>1381</v>
      </c>
      <c r="E31" s="129">
        <f>GETPIVOTDATA("dato",'[1]Evolución mensual categoría'!$A$4,"categoría","3 *","mes",6,"año",2010)</f>
        <v>12478</v>
      </c>
      <c r="F31" s="129">
        <f>GETPIVOTDATA("dato",'[1]Evolución mensual categoría'!$A$4,"categoría","4 *","mes",6,"año",2010)</f>
        <v>61142</v>
      </c>
      <c r="G31" s="129">
        <f>GETPIVOTDATA("dato",'[1]Evolución mensual categoría'!$A$4,"categoría","5 *","mes",6,"año",2010)</f>
        <v>11209</v>
      </c>
      <c r="H31" s="129">
        <f>GETPIVOTDATA("dato",'[1]Evolución mensual categoría'!$A$4,"categoría","HOTELEROS","mes",6,"año",2010)</f>
        <v>86210</v>
      </c>
      <c r="I31" s="129">
        <f>GETPIVOTDATA("dato",'[1]Evolución mensual categoría'!$A$4,"categoría","EXTRAHOTELEROS","mes",6,"año",2010)</f>
        <v>42687</v>
      </c>
      <c r="J31" s="129">
        <f>GETPIVOTDATA("dato",'[1]Evolución mensual categoría'!$A$4,"categoría","TOTAL","mes",6,"año",2010)</f>
        <v>128897</v>
      </c>
    </row>
    <row r="32" spans="3:11">
      <c r="C32" s="178" t="s">
        <v>63</v>
      </c>
      <c r="D32" s="129">
        <f>GETPIVOTDATA("dato",'[1]Evolución mensual categoría'!$A$4,"categoría","1* y 2 *","mes",7,"año",2010)</f>
        <v>1761</v>
      </c>
      <c r="E32" s="129">
        <f>GETPIVOTDATA("dato",'[1]Evolución mensual categoría'!$A$4,"categoría","3 *","mes",7,"año",2010)</f>
        <v>14316</v>
      </c>
      <c r="F32" s="129">
        <f>GETPIVOTDATA("dato",'[1]Evolución mensual categoría'!$A$4,"categoría","4 *","mes",7,"año",2010)</f>
        <v>73504</v>
      </c>
      <c r="G32" s="129">
        <f>GETPIVOTDATA("dato",'[1]Evolución mensual categoría'!$A$4,"categoría","5 *","mes",7,"año",2010)</f>
        <v>15004</v>
      </c>
      <c r="H32" s="129">
        <f>GETPIVOTDATA("dato",'[1]Evolución mensual categoría'!$A$4,"categoría","HOTELEROS","mes",7,"año",2010)</f>
        <v>104585</v>
      </c>
      <c r="I32" s="129">
        <f>GETPIVOTDATA("dato",'[1]Evolución mensual categoría'!$A$4,"categoría","EXTRAHOTELEROS","mes",7,"año",2010)</f>
        <v>58786</v>
      </c>
      <c r="J32" s="129">
        <f>GETPIVOTDATA("dato",'[1]Evolución mensual categoría'!$A$4,"categoría","TOTAL","mes",7,"año",2010)</f>
        <v>163371</v>
      </c>
    </row>
    <row r="33" spans="3:10">
      <c r="C33" s="178" t="s">
        <v>64</v>
      </c>
      <c r="D33" s="129">
        <f>GETPIVOTDATA("dato",'[1]Evolución mensual categoría'!$A$4,"categoría","1* y 2 *","mes",8,"año",2010)</f>
        <v>0</v>
      </c>
      <c r="E33" s="129">
        <f>GETPIVOTDATA("dato",'[1]Evolución mensual categoría'!$A$4,"categoría","3 *","mes",8,"año",2010)</f>
        <v>0</v>
      </c>
      <c r="F33" s="129">
        <f>GETPIVOTDATA("dato",'[1]Evolución mensual categoría'!$A$4,"categoría","4 *","mes",8,"año",2010)</f>
        <v>0</v>
      </c>
      <c r="G33" s="129">
        <f>GETPIVOTDATA("dato",'[1]Evolución mensual categoría'!$A$4,"categoría","5 *","mes",8,"año",2010)</f>
        <v>0</v>
      </c>
      <c r="H33" s="129">
        <f>GETPIVOTDATA("dato",'[1]Evolución mensual categoría'!$A$4,"categoría","HOTELEROS","mes",8,"año",2010)</f>
        <v>0</v>
      </c>
      <c r="I33" s="129">
        <f>GETPIVOTDATA("dato",'[1]Evolución mensual categoría'!$A$4,"categoría","EXTRAHOTELEROS","mes",8,"año",2010)</f>
        <v>0</v>
      </c>
      <c r="J33" s="129">
        <f>GETPIVOTDATA("dato",'[1]Evolución mensual categoría'!$A$4,"categoría","TOTAL","mes",8,"año",2010)</f>
        <v>0</v>
      </c>
    </row>
    <row r="34" spans="3:10">
      <c r="C34" s="178" t="s">
        <v>65</v>
      </c>
      <c r="D34" s="129">
        <f>GETPIVOTDATA("dato",'[1]Evolución mensual categoría'!$A$4,"categoría","1* y 2 *","mes",9,"año",2010)</f>
        <v>0</v>
      </c>
      <c r="E34" s="129">
        <f>GETPIVOTDATA("dato",'[1]Evolución mensual categoría'!$A$4,"categoría","3 *","mes",9,"año",2010)</f>
        <v>0</v>
      </c>
      <c r="F34" s="129">
        <f>GETPIVOTDATA("dato",'[1]Evolución mensual categoría'!$A$4,"categoría","4 *","mes",9,"año",2010)</f>
        <v>0</v>
      </c>
      <c r="G34" s="129">
        <f>GETPIVOTDATA("dato",'[1]Evolución mensual categoría'!$A$4,"categoría","5 *","mes",9,"año",2010)</f>
        <v>0</v>
      </c>
      <c r="H34" s="129">
        <f>GETPIVOTDATA("dato",'[1]Evolución mensual categoría'!$A$4,"categoría","HOTELEROS","mes",9,"año",2010)</f>
        <v>0</v>
      </c>
      <c r="I34" s="129">
        <f>GETPIVOTDATA("dato",'[1]Evolución mensual categoría'!$A$4,"categoría","EXTRAHOTELEROS","mes",9,"año",2010)</f>
        <v>0</v>
      </c>
      <c r="J34" s="129">
        <f>GETPIVOTDATA("dato",'[1]Evolución mensual categoría'!$A$4,"categoría","TOTAL","mes",9,"año",2010)</f>
        <v>0</v>
      </c>
    </row>
    <row r="35" spans="3:10">
      <c r="C35" s="178" t="s">
        <v>66</v>
      </c>
      <c r="D35" s="129">
        <f>GETPIVOTDATA("dato",'[1]Evolución mensual categoría'!$A$4,"categoría","1* y 2 *","mes",10,"año",2010)</f>
        <v>0</v>
      </c>
      <c r="E35" s="129">
        <f>GETPIVOTDATA("dato",'[1]Evolución mensual categoría'!$A$4,"categoría","3 *","mes",10,"año",2010)</f>
        <v>0</v>
      </c>
      <c r="F35" s="129">
        <f>GETPIVOTDATA("dato",'[1]Evolución mensual categoría'!$A$4,"categoría","4 *","mes",10,"año",2010)</f>
        <v>0</v>
      </c>
      <c r="G35" s="129">
        <f>GETPIVOTDATA("dato",'[1]Evolución mensual categoría'!$A$4,"categoría","5 *","mes",10,"año",2010)</f>
        <v>0</v>
      </c>
      <c r="H35" s="129">
        <f>GETPIVOTDATA("dato",'[1]Evolución mensual categoría'!$A$4,"categoría","HOTELEROS","mes",10,"año",2010)</f>
        <v>0</v>
      </c>
      <c r="I35" s="129">
        <f>GETPIVOTDATA("dato",'[1]Evolución mensual categoría'!$A$4,"categoría","EXTRAHOTELEROS","mes",10,"año",2010)</f>
        <v>0</v>
      </c>
      <c r="J35" s="129">
        <f>GETPIVOTDATA("dato",'[1]Evolución mensual categoría'!$A$4,"categoría","TOTAL","mes",10,"año",2010)</f>
        <v>0</v>
      </c>
    </row>
    <row r="36" spans="3:10">
      <c r="C36" s="178" t="s">
        <v>67</v>
      </c>
      <c r="D36" s="129">
        <f>GETPIVOTDATA("dato",'[1]Evolución mensual categoría'!$A$4,"categoría","1* y 2 *","mes",11,"año",2010)</f>
        <v>0</v>
      </c>
      <c r="E36" s="129">
        <f>GETPIVOTDATA("dato",'[1]Evolución mensual categoría'!$A$4,"categoría","3 *","mes",11,"año",2010)</f>
        <v>0</v>
      </c>
      <c r="F36" s="129">
        <f>GETPIVOTDATA("dato",'[1]Evolución mensual categoría'!$A$4,"categoría","4 *","mes",11,"año",2010)</f>
        <v>0</v>
      </c>
      <c r="G36" s="129">
        <f>GETPIVOTDATA("dato",'[1]Evolución mensual categoría'!$A$4,"categoría","5 *","mes",11,"año",2010)</f>
        <v>0</v>
      </c>
      <c r="H36" s="129">
        <f>GETPIVOTDATA("dato",'[1]Evolución mensual categoría'!$A$4,"categoría","HOTELEROS","mes",11,"año",2010)</f>
        <v>0</v>
      </c>
      <c r="I36" s="129">
        <f>GETPIVOTDATA("dato",'[1]Evolución mensual categoría'!$A$4,"categoría","EXTRAHOTELEROS","mes",11,"año",2010)</f>
        <v>0</v>
      </c>
      <c r="J36" s="129">
        <f>GETPIVOTDATA("dato",'[1]Evolución mensual categoría'!$A$4,"categoría","TOTAL","mes",11,"año",2010)</f>
        <v>0</v>
      </c>
    </row>
    <row r="37" spans="3:10">
      <c r="C37" s="178" t="s">
        <v>68</v>
      </c>
      <c r="D37" s="129">
        <f>GETPIVOTDATA("dato",'[1]Evolución mensual categoría'!$A$4,"categoría","1* y 2 *","mes",12,"año",2010)</f>
        <v>0</v>
      </c>
      <c r="E37" s="129">
        <f>GETPIVOTDATA("dato",'[1]Evolución mensual categoría'!$A$4,"categoría","3 *","mes",12,"año",2010)</f>
        <v>0</v>
      </c>
      <c r="F37" s="129">
        <f>GETPIVOTDATA("dato",'[1]Evolución mensual categoría'!$A$4,"categoría","4 *","mes",12,"año",2010)</f>
        <v>0</v>
      </c>
      <c r="G37" s="129">
        <f>GETPIVOTDATA("dato",'[1]Evolución mensual categoría'!$A$4,"categoría","5 *","mes",12,"año",2010)</f>
        <v>0</v>
      </c>
      <c r="H37" s="129">
        <f>GETPIVOTDATA("dato",'[1]Evolución mensual categoría'!$A$4,"categoría","HOTELEROS","mes",12,"año",2010)</f>
        <v>0</v>
      </c>
      <c r="I37" s="129">
        <f>GETPIVOTDATA("dato",'[1]Evolución mensual categoría'!$A$4,"categoría","EXTRAHOTELEROS","mes",12,"año",2010)</f>
        <v>0</v>
      </c>
      <c r="J37" s="129">
        <f>GETPIVOTDATA("dato",'[1]Evolución mensual categoría'!$A$4,"categoría","TOTAL","mes",12,"año",2010)</f>
        <v>0</v>
      </c>
    </row>
    <row r="38" spans="3:10">
      <c r="C38" s="179" t="s">
        <v>102</v>
      </c>
      <c r="D38" s="153">
        <f>GETPIVOTDATA("dato",'[1]Evolución mensual categoría'!$A$4,"categoría","1* y 2 *","año",2010)</f>
        <v>9948</v>
      </c>
      <c r="E38" s="153">
        <f>GETPIVOTDATA("dato",'[1]Evolución mensual categoría'!$A$4,"categoría","3 *","año",2010)</f>
        <v>99829</v>
      </c>
      <c r="F38" s="153">
        <f>GETPIVOTDATA("dato",'[1]Evolución mensual categoría'!$A$4,"categoría","4 *","año",2010)</f>
        <v>441530</v>
      </c>
      <c r="G38" s="153">
        <f>GETPIVOTDATA("dato",'[1]Evolución mensual categoría'!$A$4,"categoría","5 *","año",2010)</f>
        <v>92816</v>
      </c>
      <c r="H38" s="153">
        <f>GETPIVOTDATA("dato",'[1]Evolución mensual categoría'!$A$4,"categoría","HOTELEROS","año",2010)</f>
        <v>644123</v>
      </c>
      <c r="I38" s="153">
        <f>GETPIVOTDATA("dato",'[1]Evolución mensual categoría'!$A$4,"categoría","EXTRAHOTELEROS","año",2010)</f>
        <v>334560</v>
      </c>
      <c r="J38" s="153">
        <f>GETPIVOTDATA("dato",'[1]Evolución mensual categoría'!$A$4,"categoría","TOTAL","año",2010)</f>
        <v>978683</v>
      </c>
    </row>
    <row r="39" spans="3:10">
      <c r="C39" s="136" t="s">
        <v>32</v>
      </c>
      <c r="D39" s="137"/>
      <c r="E39" s="137"/>
      <c r="F39" s="137"/>
      <c r="G39" s="137"/>
      <c r="H39" s="137"/>
      <c r="I39" s="137"/>
      <c r="J39" s="138"/>
    </row>
  </sheetData>
  <mergeCells count="6">
    <mergeCell ref="C3:J3"/>
    <mergeCell ref="C4:J4"/>
    <mergeCell ref="C19:J19"/>
    <mergeCell ref="C23:J23"/>
    <mergeCell ref="C24:J24"/>
    <mergeCell ref="C39:J39"/>
  </mergeCells>
  <hyperlinks>
    <hyperlink ref="K19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3">
    <tabColor theme="4" tint="-0.499984740745262"/>
    <pageSetUpPr autoPageBreaks="0" fitToPage="1"/>
  </sheetPr>
  <dimension ref="D6:N83"/>
  <sheetViews>
    <sheetView showGridLines="0" showRowColHeaders="0" showOutlineSymbols="0" zoomScaleNormal="100" workbookViewId="0">
      <selection activeCell="B25" sqref="B25"/>
    </sheetView>
  </sheetViews>
  <sheetFormatPr baseColWidth="10" defaultRowHeight="12.75"/>
  <cols>
    <col min="1" max="2" width="11.42578125" style="2"/>
    <col min="3" max="3" width="7.42578125" style="2" customWidth="1"/>
    <col min="4" max="5" width="10.7109375" style="2" customWidth="1"/>
    <col min="6" max="6" width="73.85546875" style="2" bestFit="1" customWidth="1"/>
    <col min="7" max="7" width="10.7109375" style="2" customWidth="1"/>
    <col min="8" max="258" width="11.42578125" style="2"/>
    <col min="259" max="259" width="7.42578125" style="2" customWidth="1"/>
    <col min="260" max="261" width="10.7109375" style="2" customWidth="1"/>
    <col min="262" max="262" width="73.85546875" style="2" bestFit="1" customWidth="1"/>
    <col min="263" max="263" width="10.7109375" style="2" customWidth="1"/>
    <col min="264" max="514" width="11.42578125" style="2"/>
    <col min="515" max="515" width="7.42578125" style="2" customWidth="1"/>
    <col min="516" max="517" width="10.7109375" style="2" customWidth="1"/>
    <col min="518" max="518" width="73.85546875" style="2" bestFit="1" customWidth="1"/>
    <col min="519" max="519" width="10.7109375" style="2" customWidth="1"/>
    <col min="520" max="770" width="11.42578125" style="2"/>
    <col min="771" max="771" width="7.42578125" style="2" customWidth="1"/>
    <col min="772" max="773" width="10.7109375" style="2" customWidth="1"/>
    <col min="774" max="774" width="73.85546875" style="2" bestFit="1" customWidth="1"/>
    <col min="775" max="775" width="10.7109375" style="2" customWidth="1"/>
    <col min="776" max="1026" width="11.42578125" style="2"/>
    <col min="1027" max="1027" width="7.42578125" style="2" customWidth="1"/>
    <col min="1028" max="1029" width="10.7109375" style="2" customWidth="1"/>
    <col min="1030" max="1030" width="73.85546875" style="2" bestFit="1" customWidth="1"/>
    <col min="1031" max="1031" width="10.7109375" style="2" customWidth="1"/>
    <col min="1032" max="1282" width="11.42578125" style="2"/>
    <col min="1283" max="1283" width="7.42578125" style="2" customWidth="1"/>
    <col min="1284" max="1285" width="10.7109375" style="2" customWidth="1"/>
    <col min="1286" max="1286" width="73.85546875" style="2" bestFit="1" customWidth="1"/>
    <col min="1287" max="1287" width="10.7109375" style="2" customWidth="1"/>
    <col min="1288" max="1538" width="11.42578125" style="2"/>
    <col min="1539" max="1539" width="7.42578125" style="2" customWidth="1"/>
    <col min="1540" max="1541" width="10.7109375" style="2" customWidth="1"/>
    <col min="1542" max="1542" width="73.85546875" style="2" bestFit="1" customWidth="1"/>
    <col min="1543" max="1543" width="10.7109375" style="2" customWidth="1"/>
    <col min="1544" max="1794" width="11.42578125" style="2"/>
    <col min="1795" max="1795" width="7.42578125" style="2" customWidth="1"/>
    <col min="1796" max="1797" width="10.7109375" style="2" customWidth="1"/>
    <col min="1798" max="1798" width="73.85546875" style="2" bestFit="1" customWidth="1"/>
    <col min="1799" max="1799" width="10.7109375" style="2" customWidth="1"/>
    <col min="1800" max="2050" width="11.42578125" style="2"/>
    <col min="2051" max="2051" width="7.42578125" style="2" customWidth="1"/>
    <col min="2052" max="2053" width="10.7109375" style="2" customWidth="1"/>
    <col min="2054" max="2054" width="73.85546875" style="2" bestFit="1" customWidth="1"/>
    <col min="2055" max="2055" width="10.7109375" style="2" customWidth="1"/>
    <col min="2056" max="2306" width="11.42578125" style="2"/>
    <col min="2307" max="2307" width="7.42578125" style="2" customWidth="1"/>
    <col min="2308" max="2309" width="10.7109375" style="2" customWidth="1"/>
    <col min="2310" max="2310" width="73.85546875" style="2" bestFit="1" customWidth="1"/>
    <col min="2311" max="2311" width="10.7109375" style="2" customWidth="1"/>
    <col min="2312" max="2562" width="11.42578125" style="2"/>
    <col min="2563" max="2563" width="7.42578125" style="2" customWidth="1"/>
    <col min="2564" max="2565" width="10.7109375" style="2" customWidth="1"/>
    <col min="2566" max="2566" width="73.85546875" style="2" bestFit="1" customWidth="1"/>
    <col min="2567" max="2567" width="10.7109375" style="2" customWidth="1"/>
    <col min="2568" max="2818" width="11.42578125" style="2"/>
    <col min="2819" max="2819" width="7.42578125" style="2" customWidth="1"/>
    <col min="2820" max="2821" width="10.7109375" style="2" customWidth="1"/>
    <col min="2822" max="2822" width="73.85546875" style="2" bestFit="1" customWidth="1"/>
    <col min="2823" max="2823" width="10.7109375" style="2" customWidth="1"/>
    <col min="2824" max="3074" width="11.42578125" style="2"/>
    <col min="3075" max="3075" width="7.42578125" style="2" customWidth="1"/>
    <col min="3076" max="3077" width="10.7109375" style="2" customWidth="1"/>
    <col min="3078" max="3078" width="73.85546875" style="2" bestFit="1" customWidth="1"/>
    <col min="3079" max="3079" width="10.7109375" style="2" customWidth="1"/>
    <col min="3080" max="3330" width="11.42578125" style="2"/>
    <col min="3331" max="3331" width="7.42578125" style="2" customWidth="1"/>
    <col min="3332" max="3333" width="10.7109375" style="2" customWidth="1"/>
    <col min="3334" max="3334" width="73.85546875" style="2" bestFit="1" customWidth="1"/>
    <col min="3335" max="3335" width="10.7109375" style="2" customWidth="1"/>
    <col min="3336" max="3586" width="11.42578125" style="2"/>
    <col min="3587" max="3587" width="7.42578125" style="2" customWidth="1"/>
    <col min="3588" max="3589" width="10.7109375" style="2" customWidth="1"/>
    <col min="3590" max="3590" width="73.85546875" style="2" bestFit="1" customWidth="1"/>
    <col min="3591" max="3591" width="10.7109375" style="2" customWidth="1"/>
    <col min="3592" max="3842" width="11.42578125" style="2"/>
    <col min="3843" max="3843" width="7.42578125" style="2" customWidth="1"/>
    <col min="3844" max="3845" width="10.7109375" style="2" customWidth="1"/>
    <col min="3846" max="3846" width="73.85546875" style="2" bestFit="1" customWidth="1"/>
    <col min="3847" max="3847" width="10.7109375" style="2" customWidth="1"/>
    <col min="3848" max="4098" width="11.42578125" style="2"/>
    <col min="4099" max="4099" width="7.42578125" style="2" customWidth="1"/>
    <col min="4100" max="4101" width="10.7109375" style="2" customWidth="1"/>
    <col min="4102" max="4102" width="73.85546875" style="2" bestFit="1" customWidth="1"/>
    <col min="4103" max="4103" width="10.7109375" style="2" customWidth="1"/>
    <col min="4104" max="4354" width="11.42578125" style="2"/>
    <col min="4355" max="4355" width="7.42578125" style="2" customWidth="1"/>
    <col min="4356" max="4357" width="10.7109375" style="2" customWidth="1"/>
    <col min="4358" max="4358" width="73.85546875" style="2" bestFit="1" customWidth="1"/>
    <col min="4359" max="4359" width="10.7109375" style="2" customWidth="1"/>
    <col min="4360" max="4610" width="11.42578125" style="2"/>
    <col min="4611" max="4611" width="7.42578125" style="2" customWidth="1"/>
    <col min="4612" max="4613" width="10.7109375" style="2" customWidth="1"/>
    <col min="4614" max="4614" width="73.85546875" style="2" bestFit="1" customWidth="1"/>
    <col min="4615" max="4615" width="10.7109375" style="2" customWidth="1"/>
    <col min="4616" max="4866" width="11.42578125" style="2"/>
    <col min="4867" max="4867" width="7.42578125" style="2" customWidth="1"/>
    <col min="4868" max="4869" width="10.7109375" style="2" customWidth="1"/>
    <col min="4870" max="4870" width="73.85546875" style="2" bestFit="1" customWidth="1"/>
    <col min="4871" max="4871" width="10.7109375" style="2" customWidth="1"/>
    <col min="4872" max="5122" width="11.42578125" style="2"/>
    <col min="5123" max="5123" width="7.42578125" style="2" customWidth="1"/>
    <col min="5124" max="5125" width="10.7109375" style="2" customWidth="1"/>
    <col min="5126" max="5126" width="73.85546875" style="2" bestFit="1" customWidth="1"/>
    <col min="5127" max="5127" width="10.7109375" style="2" customWidth="1"/>
    <col min="5128" max="5378" width="11.42578125" style="2"/>
    <col min="5379" max="5379" width="7.42578125" style="2" customWidth="1"/>
    <col min="5380" max="5381" width="10.7109375" style="2" customWidth="1"/>
    <col min="5382" max="5382" width="73.85546875" style="2" bestFit="1" customWidth="1"/>
    <col min="5383" max="5383" width="10.7109375" style="2" customWidth="1"/>
    <col min="5384" max="5634" width="11.42578125" style="2"/>
    <col min="5635" max="5635" width="7.42578125" style="2" customWidth="1"/>
    <col min="5636" max="5637" width="10.7109375" style="2" customWidth="1"/>
    <col min="5638" max="5638" width="73.85546875" style="2" bestFit="1" customWidth="1"/>
    <col min="5639" max="5639" width="10.7109375" style="2" customWidth="1"/>
    <col min="5640" max="5890" width="11.42578125" style="2"/>
    <col min="5891" max="5891" width="7.42578125" style="2" customWidth="1"/>
    <col min="5892" max="5893" width="10.7109375" style="2" customWidth="1"/>
    <col min="5894" max="5894" width="73.85546875" style="2" bestFit="1" customWidth="1"/>
    <col min="5895" max="5895" width="10.7109375" style="2" customWidth="1"/>
    <col min="5896" max="6146" width="11.42578125" style="2"/>
    <col min="6147" max="6147" width="7.42578125" style="2" customWidth="1"/>
    <col min="6148" max="6149" width="10.7109375" style="2" customWidth="1"/>
    <col min="6150" max="6150" width="73.85546875" style="2" bestFit="1" customWidth="1"/>
    <col min="6151" max="6151" width="10.7109375" style="2" customWidth="1"/>
    <col min="6152" max="6402" width="11.42578125" style="2"/>
    <col min="6403" max="6403" width="7.42578125" style="2" customWidth="1"/>
    <col min="6404" max="6405" width="10.7109375" style="2" customWidth="1"/>
    <col min="6406" max="6406" width="73.85546875" style="2" bestFit="1" customWidth="1"/>
    <col min="6407" max="6407" width="10.7109375" style="2" customWidth="1"/>
    <col min="6408" max="6658" width="11.42578125" style="2"/>
    <col min="6659" max="6659" width="7.42578125" style="2" customWidth="1"/>
    <col min="6660" max="6661" width="10.7109375" style="2" customWidth="1"/>
    <col min="6662" max="6662" width="73.85546875" style="2" bestFit="1" customWidth="1"/>
    <col min="6663" max="6663" width="10.7109375" style="2" customWidth="1"/>
    <col min="6664" max="6914" width="11.42578125" style="2"/>
    <col min="6915" max="6915" width="7.42578125" style="2" customWidth="1"/>
    <col min="6916" max="6917" width="10.7109375" style="2" customWidth="1"/>
    <col min="6918" max="6918" width="73.85546875" style="2" bestFit="1" customWidth="1"/>
    <col min="6919" max="6919" width="10.7109375" style="2" customWidth="1"/>
    <col min="6920" max="7170" width="11.42578125" style="2"/>
    <col min="7171" max="7171" width="7.42578125" style="2" customWidth="1"/>
    <col min="7172" max="7173" width="10.7109375" style="2" customWidth="1"/>
    <col min="7174" max="7174" width="73.85546875" style="2" bestFit="1" customWidth="1"/>
    <col min="7175" max="7175" width="10.7109375" style="2" customWidth="1"/>
    <col min="7176" max="7426" width="11.42578125" style="2"/>
    <col min="7427" max="7427" width="7.42578125" style="2" customWidth="1"/>
    <col min="7428" max="7429" width="10.7109375" style="2" customWidth="1"/>
    <col min="7430" max="7430" width="73.85546875" style="2" bestFit="1" customWidth="1"/>
    <col min="7431" max="7431" width="10.7109375" style="2" customWidth="1"/>
    <col min="7432" max="7682" width="11.42578125" style="2"/>
    <col min="7683" max="7683" width="7.42578125" style="2" customWidth="1"/>
    <col min="7684" max="7685" width="10.7109375" style="2" customWidth="1"/>
    <col min="7686" max="7686" width="73.85546875" style="2" bestFit="1" customWidth="1"/>
    <col min="7687" max="7687" width="10.7109375" style="2" customWidth="1"/>
    <col min="7688" max="7938" width="11.42578125" style="2"/>
    <col min="7939" max="7939" width="7.42578125" style="2" customWidth="1"/>
    <col min="7940" max="7941" width="10.7109375" style="2" customWidth="1"/>
    <col min="7942" max="7942" width="73.85546875" style="2" bestFit="1" customWidth="1"/>
    <col min="7943" max="7943" width="10.7109375" style="2" customWidth="1"/>
    <col min="7944" max="8194" width="11.42578125" style="2"/>
    <col min="8195" max="8195" width="7.42578125" style="2" customWidth="1"/>
    <col min="8196" max="8197" width="10.7109375" style="2" customWidth="1"/>
    <col min="8198" max="8198" width="73.85546875" style="2" bestFit="1" customWidth="1"/>
    <col min="8199" max="8199" width="10.7109375" style="2" customWidth="1"/>
    <col min="8200" max="8450" width="11.42578125" style="2"/>
    <col min="8451" max="8451" width="7.42578125" style="2" customWidth="1"/>
    <col min="8452" max="8453" width="10.7109375" style="2" customWidth="1"/>
    <col min="8454" max="8454" width="73.85546875" style="2" bestFit="1" customWidth="1"/>
    <col min="8455" max="8455" width="10.7109375" style="2" customWidth="1"/>
    <col min="8456" max="8706" width="11.42578125" style="2"/>
    <col min="8707" max="8707" width="7.42578125" style="2" customWidth="1"/>
    <col min="8708" max="8709" width="10.7109375" style="2" customWidth="1"/>
    <col min="8710" max="8710" width="73.85546875" style="2" bestFit="1" customWidth="1"/>
    <col min="8711" max="8711" width="10.7109375" style="2" customWidth="1"/>
    <col min="8712" max="8962" width="11.42578125" style="2"/>
    <col min="8963" max="8963" width="7.42578125" style="2" customWidth="1"/>
    <col min="8964" max="8965" width="10.7109375" style="2" customWidth="1"/>
    <col min="8966" max="8966" width="73.85546875" style="2" bestFit="1" customWidth="1"/>
    <col min="8967" max="8967" width="10.7109375" style="2" customWidth="1"/>
    <col min="8968" max="9218" width="11.42578125" style="2"/>
    <col min="9219" max="9219" width="7.42578125" style="2" customWidth="1"/>
    <col min="9220" max="9221" width="10.7109375" style="2" customWidth="1"/>
    <col min="9222" max="9222" width="73.85546875" style="2" bestFit="1" customWidth="1"/>
    <col min="9223" max="9223" width="10.7109375" style="2" customWidth="1"/>
    <col min="9224" max="9474" width="11.42578125" style="2"/>
    <col min="9475" max="9475" width="7.42578125" style="2" customWidth="1"/>
    <col min="9476" max="9477" width="10.7109375" style="2" customWidth="1"/>
    <col min="9478" max="9478" width="73.85546875" style="2" bestFit="1" customWidth="1"/>
    <col min="9479" max="9479" width="10.7109375" style="2" customWidth="1"/>
    <col min="9480" max="9730" width="11.42578125" style="2"/>
    <col min="9731" max="9731" width="7.42578125" style="2" customWidth="1"/>
    <col min="9732" max="9733" width="10.7109375" style="2" customWidth="1"/>
    <col min="9734" max="9734" width="73.85546875" style="2" bestFit="1" customWidth="1"/>
    <col min="9735" max="9735" width="10.7109375" style="2" customWidth="1"/>
    <col min="9736" max="9986" width="11.42578125" style="2"/>
    <col min="9987" max="9987" width="7.42578125" style="2" customWidth="1"/>
    <col min="9988" max="9989" width="10.7109375" style="2" customWidth="1"/>
    <col min="9990" max="9990" width="73.85546875" style="2" bestFit="1" customWidth="1"/>
    <col min="9991" max="9991" width="10.7109375" style="2" customWidth="1"/>
    <col min="9992" max="10242" width="11.42578125" style="2"/>
    <col min="10243" max="10243" width="7.42578125" style="2" customWidth="1"/>
    <col min="10244" max="10245" width="10.7109375" style="2" customWidth="1"/>
    <col min="10246" max="10246" width="73.85546875" style="2" bestFit="1" customWidth="1"/>
    <col min="10247" max="10247" width="10.7109375" style="2" customWidth="1"/>
    <col min="10248" max="10498" width="11.42578125" style="2"/>
    <col min="10499" max="10499" width="7.42578125" style="2" customWidth="1"/>
    <col min="10500" max="10501" width="10.7109375" style="2" customWidth="1"/>
    <col min="10502" max="10502" width="73.85546875" style="2" bestFit="1" customWidth="1"/>
    <col min="10503" max="10503" width="10.7109375" style="2" customWidth="1"/>
    <col min="10504" max="10754" width="11.42578125" style="2"/>
    <col min="10755" max="10755" width="7.42578125" style="2" customWidth="1"/>
    <col min="10756" max="10757" width="10.7109375" style="2" customWidth="1"/>
    <col min="10758" max="10758" width="73.85546875" style="2" bestFit="1" customWidth="1"/>
    <col min="10759" max="10759" width="10.7109375" style="2" customWidth="1"/>
    <col min="10760" max="11010" width="11.42578125" style="2"/>
    <col min="11011" max="11011" width="7.42578125" style="2" customWidth="1"/>
    <col min="11012" max="11013" width="10.7109375" style="2" customWidth="1"/>
    <col min="11014" max="11014" width="73.85546875" style="2" bestFit="1" customWidth="1"/>
    <col min="11015" max="11015" width="10.7109375" style="2" customWidth="1"/>
    <col min="11016" max="11266" width="11.42578125" style="2"/>
    <col min="11267" max="11267" width="7.42578125" style="2" customWidth="1"/>
    <col min="11268" max="11269" width="10.7109375" style="2" customWidth="1"/>
    <col min="11270" max="11270" width="73.85546875" style="2" bestFit="1" customWidth="1"/>
    <col min="11271" max="11271" width="10.7109375" style="2" customWidth="1"/>
    <col min="11272" max="11522" width="11.42578125" style="2"/>
    <col min="11523" max="11523" width="7.42578125" style="2" customWidth="1"/>
    <col min="11524" max="11525" width="10.7109375" style="2" customWidth="1"/>
    <col min="11526" max="11526" width="73.85546875" style="2" bestFit="1" customWidth="1"/>
    <col min="11527" max="11527" width="10.7109375" style="2" customWidth="1"/>
    <col min="11528" max="11778" width="11.42578125" style="2"/>
    <col min="11779" max="11779" width="7.42578125" style="2" customWidth="1"/>
    <col min="11780" max="11781" width="10.7109375" style="2" customWidth="1"/>
    <col min="11782" max="11782" width="73.85546875" style="2" bestFit="1" customWidth="1"/>
    <col min="11783" max="11783" width="10.7109375" style="2" customWidth="1"/>
    <col min="11784" max="12034" width="11.42578125" style="2"/>
    <col min="12035" max="12035" width="7.42578125" style="2" customWidth="1"/>
    <col min="12036" max="12037" width="10.7109375" style="2" customWidth="1"/>
    <col min="12038" max="12038" width="73.85546875" style="2" bestFit="1" customWidth="1"/>
    <col min="12039" max="12039" width="10.7109375" style="2" customWidth="1"/>
    <col min="12040" max="12290" width="11.42578125" style="2"/>
    <col min="12291" max="12291" width="7.42578125" style="2" customWidth="1"/>
    <col min="12292" max="12293" width="10.7109375" style="2" customWidth="1"/>
    <col min="12294" max="12294" width="73.85546875" style="2" bestFit="1" customWidth="1"/>
    <col min="12295" max="12295" width="10.7109375" style="2" customWidth="1"/>
    <col min="12296" max="12546" width="11.42578125" style="2"/>
    <col min="12547" max="12547" width="7.42578125" style="2" customWidth="1"/>
    <col min="12548" max="12549" width="10.7109375" style="2" customWidth="1"/>
    <col min="12550" max="12550" width="73.85546875" style="2" bestFit="1" customWidth="1"/>
    <col min="12551" max="12551" width="10.7109375" style="2" customWidth="1"/>
    <col min="12552" max="12802" width="11.42578125" style="2"/>
    <col min="12803" max="12803" width="7.42578125" style="2" customWidth="1"/>
    <col min="12804" max="12805" width="10.7109375" style="2" customWidth="1"/>
    <col min="12806" max="12806" width="73.85546875" style="2" bestFit="1" customWidth="1"/>
    <col min="12807" max="12807" width="10.7109375" style="2" customWidth="1"/>
    <col min="12808" max="13058" width="11.42578125" style="2"/>
    <col min="13059" max="13059" width="7.42578125" style="2" customWidth="1"/>
    <col min="13060" max="13061" width="10.7109375" style="2" customWidth="1"/>
    <col min="13062" max="13062" width="73.85546875" style="2" bestFit="1" customWidth="1"/>
    <col min="13063" max="13063" width="10.7109375" style="2" customWidth="1"/>
    <col min="13064" max="13314" width="11.42578125" style="2"/>
    <col min="13315" max="13315" width="7.42578125" style="2" customWidth="1"/>
    <col min="13316" max="13317" width="10.7109375" style="2" customWidth="1"/>
    <col min="13318" max="13318" width="73.85546875" style="2" bestFit="1" customWidth="1"/>
    <col min="13319" max="13319" width="10.7109375" style="2" customWidth="1"/>
    <col min="13320" max="13570" width="11.42578125" style="2"/>
    <col min="13571" max="13571" width="7.42578125" style="2" customWidth="1"/>
    <col min="13572" max="13573" width="10.7109375" style="2" customWidth="1"/>
    <col min="13574" max="13574" width="73.85546875" style="2" bestFit="1" customWidth="1"/>
    <col min="13575" max="13575" width="10.7109375" style="2" customWidth="1"/>
    <col min="13576" max="13826" width="11.42578125" style="2"/>
    <col min="13827" max="13827" width="7.42578125" style="2" customWidth="1"/>
    <col min="13828" max="13829" width="10.7109375" style="2" customWidth="1"/>
    <col min="13830" max="13830" width="73.85546875" style="2" bestFit="1" customWidth="1"/>
    <col min="13831" max="13831" width="10.7109375" style="2" customWidth="1"/>
    <col min="13832" max="14082" width="11.42578125" style="2"/>
    <col min="14083" max="14083" width="7.42578125" style="2" customWidth="1"/>
    <col min="14084" max="14085" width="10.7109375" style="2" customWidth="1"/>
    <col min="14086" max="14086" width="73.85546875" style="2" bestFit="1" customWidth="1"/>
    <col min="14087" max="14087" width="10.7109375" style="2" customWidth="1"/>
    <col min="14088" max="14338" width="11.42578125" style="2"/>
    <col min="14339" max="14339" width="7.42578125" style="2" customWidth="1"/>
    <col min="14340" max="14341" width="10.7109375" style="2" customWidth="1"/>
    <col min="14342" max="14342" width="73.85546875" style="2" bestFit="1" customWidth="1"/>
    <col min="14343" max="14343" width="10.7109375" style="2" customWidth="1"/>
    <col min="14344" max="14594" width="11.42578125" style="2"/>
    <col min="14595" max="14595" width="7.42578125" style="2" customWidth="1"/>
    <col min="14596" max="14597" width="10.7109375" style="2" customWidth="1"/>
    <col min="14598" max="14598" width="73.85546875" style="2" bestFit="1" customWidth="1"/>
    <col min="14599" max="14599" width="10.7109375" style="2" customWidth="1"/>
    <col min="14600" max="14850" width="11.42578125" style="2"/>
    <col min="14851" max="14851" width="7.42578125" style="2" customWidth="1"/>
    <col min="14852" max="14853" width="10.7109375" style="2" customWidth="1"/>
    <col min="14854" max="14854" width="73.85546875" style="2" bestFit="1" customWidth="1"/>
    <col min="14855" max="14855" width="10.7109375" style="2" customWidth="1"/>
    <col min="14856" max="15106" width="11.42578125" style="2"/>
    <col min="15107" max="15107" width="7.42578125" style="2" customWidth="1"/>
    <col min="15108" max="15109" width="10.7109375" style="2" customWidth="1"/>
    <col min="15110" max="15110" width="73.85546875" style="2" bestFit="1" customWidth="1"/>
    <col min="15111" max="15111" width="10.7109375" style="2" customWidth="1"/>
    <col min="15112" max="15362" width="11.42578125" style="2"/>
    <col min="15363" max="15363" width="7.42578125" style="2" customWidth="1"/>
    <col min="15364" max="15365" width="10.7109375" style="2" customWidth="1"/>
    <col min="15366" max="15366" width="73.85546875" style="2" bestFit="1" customWidth="1"/>
    <col min="15367" max="15367" width="10.7109375" style="2" customWidth="1"/>
    <col min="15368" max="15618" width="11.42578125" style="2"/>
    <col min="15619" max="15619" width="7.42578125" style="2" customWidth="1"/>
    <col min="15620" max="15621" width="10.7109375" style="2" customWidth="1"/>
    <col min="15622" max="15622" width="73.85546875" style="2" bestFit="1" customWidth="1"/>
    <col min="15623" max="15623" width="10.7109375" style="2" customWidth="1"/>
    <col min="15624" max="15874" width="11.42578125" style="2"/>
    <col min="15875" max="15875" width="7.42578125" style="2" customWidth="1"/>
    <col min="15876" max="15877" width="10.7109375" style="2" customWidth="1"/>
    <col min="15878" max="15878" width="73.85546875" style="2" bestFit="1" customWidth="1"/>
    <col min="15879" max="15879" width="10.7109375" style="2" customWidth="1"/>
    <col min="15880" max="16130" width="11.42578125" style="2"/>
    <col min="16131" max="16131" width="7.42578125" style="2" customWidth="1"/>
    <col min="16132" max="16133" width="10.7109375" style="2" customWidth="1"/>
    <col min="16134" max="16134" width="73.85546875" style="2" bestFit="1" customWidth="1"/>
    <col min="16135" max="16135" width="10.7109375" style="2" customWidth="1"/>
    <col min="16136" max="16384" width="11.42578125" style="2"/>
  </cols>
  <sheetData>
    <row r="6" spans="4:7" ht="30" customHeight="1">
      <c r="D6" s="14" t="s">
        <v>126</v>
      </c>
      <c r="E6" s="14"/>
      <c r="F6" s="14"/>
      <c r="G6" s="14"/>
    </row>
    <row r="7" spans="4:7" ht="15" customHeight="1">
      <c r="D7" s="15"/>
      <c r="E7" s="1"/>
      <c r="F7" s="1"/>
      <c r="G7" s="1"/>
    </row>
    <row r="8" spans="4:7" ht="24.95" customHeight="1">
      <c r="D8" s="15"/>
      <c r="E8" s="24" t="s">
        <v>19</v>
      </c>
      <c r="F8" s="25"/>
      <c r="G8" s="25"/>
    </row>
    <row r="9" spans="4:7" ht="15" customHeight="1">
      <c r="D9" s="15"/>
      <c r="E9" s="1"/>
      <c r="F9" s="1"/>
      <c r="G9" s="1"/>
    </row>
    <row r="10" spans="4:7" ht="15" customHeight="1">
      <c r="D10" s="1"/>
      <c r="E10" s="16" t="s">
        <v>10</v>
      </c>
      <c r="F10" s="6"/>
      <c r="G10" s="6"/>
    </row>
    <row r="11" spans="4:7" ht="20.100000000000001" customHeight="1">
      <c r="D11" s="1"/>
      <c r="E11" s="1"/>
      <c r="F11" s="17"/>
      <c r="G11" s="1"/>
    </row>
    <row r="12" spans="4:7" ht="20.100000000000001" customHeight="1">
      <c r="D12" s="1"/>
      <c r="E12" s="1"/>
      <c r="F12" s="18" t="s">
        <v>127</v>
      </c>
      <c r="G12" s="1"/>
    </row>
    <row r="13" spans="4:7" ht="20.100000000000001" customHeight="1">
      <c r="D13" s="1"/>
      <c r="E13" s="1"/>
      <c r="F13" s="18" t="s">
        <v>21</v>
      </c>
      <c r="G13" s="1"/>
    </row>
    <row r="14" spans="4:7" ht="20.100000000000001" customHeight="1">
      <c r="D14" s="1"/>
      <c r="E14" s="1"/>
      <c r="F14" s="18" t="s">
        <v>128</v>
      </c>
      <c r="G14" s="1"/>
    </row>
    <row r="15" spans="4:7" ht="20.100000000000001" customHeight="1">
      <c r="D15" s="1"/>
      <c r="E15" s="1"/>
      <c r="F15" s="17"/>
      <c r="G15" s="1"/>
    </row>
    <row r="16" spans="4:7" ht="20.100000000000001" customHeight="1">
      <c r="D16" s="1"/>
      <c r="E16" s="16" t="s">
        <v>17</v>
      </c>
      <c r="F16" s="6"/>
      <c r="G16" s="6"/>
    </row>
    <row r="17" spans="4:14" ht="20.100000000000001" customHeight="1">
      <c r="D17" s="1"/>
      <c r="E17" s="1"/>
      <c r="F17" s="17"/>
      <c r="G17" s="1"/>
    </row>
    <row r="18" spans="4:14" ht="20.100000000000001" customHeight="1">
      <c r="D18" s="1"/>
      <c r="E18" s="20"/>
      <c r="F18" s="18" t="s">
        <v>129</v>
      </c>
      <c r="G18" s="1"/>
    </row>
    <row r="19" spans="4:14" ht="20.100000000000001" customHeight="1">
      <c r="D19" s="1"/>
      <c r="E19" s="20"/>
      <c r="F19" s="17"/>
      <c r="G19" s="1"/>
    </row>
    <row r="20" spans="4:14" ht="20.100000000000001" customHeight="1">
      <c r="D20" s="15"/>
      <c r="E20" s="24" t="str">
        <f>actualizaciones!A2</f>
        <v xml:space="preserve">acumulado julio 2010 </v>
      </c>
      <c r="F20" s="25"/>
      <c r="G20" s="25"/>
    </row>
    <row r="21" spans="4:14" ht="15" customHeight="1">
      <c r="D21" s="15"/>
      <c r="E21" s="1"/>
      <c r="F21" s="1"/>
      <c r="G21" s="1"/>
    </row>
    <row r="22" spans="4:14" ht="15" customHeight="1">
      <c r="D22" s="1"/>
      <c r="E22" s="16" t="s">
        <v>10</v>
      </c>
      <c r="F22" s="6"/>
      <c r="G22" s="6"/>
    </row>
    <row r="23" spans="4:14" ht="24.95" customHeight="1">
      <c r="D23" s="1"/>
      <c r="E23" s="1"/>
      <c r="F23" s="17"/>
      <c r="G23" s="1"/>
    </row>
    <row r="24" spans="4:14" ht="20.100000000000001" customHeight="1">
      <c r="D24" s="1"/>
      <c r="E24" s="1"/>
      <c r="F24" s="18" t="s">
        <v>130</v>
      </c>
      <c r="G24" s="1"/>
    </row>
    <row r="25" spans="4:14" ht="20.100000000000001" customHeight="1">
      <c r="D25" s="1"/>
      <c r="E25" s="1"/>
      <c r="F25" s="18" t="s">
        <v>131</v>
      </c>
      <c r="G25" s="1"/>
    </row>
    <row r="26" spans="4:14" ht="20.100000000000001" customHeight="1">
      <c r="D26" s="1"/>
      <c r="E26" s="1"/>
      <c r="F26" s="18" t="s">
        <v>132</v>
      </c>
      <c r="G26" s="1"/>
    </row>
    <row r="27" spans="4:14" ht="20.100000000000001" customHeight="1">
      <c r="D27" s="1"/>
      <c r="E27" s="1"/>
      <c r="F27" s="18" t="s">
        <v>133</v>
      </c>
      <c r="G27" s="1"/>
    </row>
    <row r="28" spans="4:14" ht="20.100000000000001" customHeight="1">
      <c r="D28" s="1"/>
      <c r="E28" s="1"/>
      <c r="F28" s="18" t="s">
        <v>134</v>
      </c>
      <c r="G28" s="1"/>
    </row>
    <row r="29" spans="4:14" ht="20.100000000000001" customHeight="1">
      <c r="D29" s="1"/>
      <c r="E29" s="1"/>
      <c r="F29" s="18" t="s">
        <v>135</v>
      </c>
      <c r="G29" s="1"/>
    </row>
    <row r="30" spans="4:14" ht="20.100000000000001" customHeight="1">
      <c r="D30" s="1"/>
      <c r="E30" s="1"/>
      <c r="F30" s="18" t="s">
        <v>136</v>
      </c>
      <c r="G30" s="1"/>
    </row>
    <row r="31" spans="4:14" ht="15" customHeight="1">
      <c r="D31" s="1"/>
      <c r="E31" s="1"/>
      <c r="F31" s="17"/>
      <c r="G31" s="1"/>
    </row>
    <row r="32" spans="4:14" ht="15" customHeight="1">
      <c r="D32" s="1"/>
      <c r="E32" s="16" t="s">
        <v>17</v>
      </c>
      <c r="F32" s="6"/>
      <c r="G32" s="6"/>
      <c r="H32" s="12"/>
      <c r="I32" s="12"/>
      <c r="J32" s="12"/>
      <c r="K32" s="12"/>
      <c r="L32" s="12"/>
      <c r="M32" s="12"/>
      <c r="N32" s="12"/>
    </row>
    <row r="33" spans="4:7" ht="15" customHeight="1">
      <c r="D33" s="1"/>
      <c r="E33" s="1"/>
      <c r="F33" s="17"/>
      <c r="G33" s="1"/>
    </row>
    <row r="34" spans="4:7" ht="20.100000000000001" customHeight="1">
      <c r="D34" s="1"/>
      <c r="E34" s="20"/>
      <c r="F34" s="18" t="s">
        <v>129</v>
      </c>
      <c r="G34" s="1"/>
    </row>
    <row r="35" spans="4:7" ht="15" customHeight="1">
      <c r="D35" s="1"/>
      <c r="E35" s="1"/>
      <c r="F35" s="17"/>
      <c r="G35" s="1"/>
    </row>
    <row r="36" spans="4:7" ht="15" customHeight="1">
      <c r="D36" s="21"/>
    </row>
    <row r="37" spans="4:7" ht="15" customHeight="1">
      <c r="D37" s="11" t="s">
        <v>8</v>
      </c>
      <c r="E37" s="11"/>
      <c r="F37" s="11"/>
      <c r="G37" s="11"/>
    </row>
    <row r="38" spans="4:7" ht="15" customHeight="1">
      <c r="D38" s="12"/>
      <c r="E38" s="12"/>
      <c r="F38" s="12"/>
      <c r="G38" s="12"/>
    </row>
    <row r="39" spans="4:7" ht="15" customHeight="1"/>
    <row r="40" spans="4:7" ht="15" customHeight="1"/>
    <row r="41" spans="4:7" ht="15" customHeight="1">
      <c r="E41" s="22"/>
      <c r="F41" s="23"/>
    </row>
    <row r="42" spans="4:7" ht="15" customHeight="1"/>
    <row r="43" spans="4:7" ht="15" customHeight="1">
      <c r="D43" s="21"/>
    </row>
    <row r="44" spans="4:7" ht="15" customHeight="1"/>
    <row r="45" spans="4:7" ht="15" customHeight="1"/>
    <row r="46" spans="4:7" ht="15" customHeight="1"/>
    <row r="47" spans="4:7" ht="15" customHeight="1"/>
    <row r="48" spans="4:7" ht="15" customHeight="1">
      <c r="D48" s="21"/>
    </row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</sheetData>
  <mergeCells count="2">
    <mergeCell ref="D6:G6"/>
    <mergeCell ref="D37:G37"/>
  </mergeCells>
  <hyperlinks>
    <hyperlink ref="F13" location="'Nacionalidades  evolución mensu'!A1" tooltip="Variación interanual" display="Variación interanual"/>
    <hyperlink ref="F18" location="'graf. dist NACIONALIDADES AÑO'!A1" tooltip="Distribución por nacionalidades" display="Distribución por nacionalidades"/>
    <hyperlink ref="F12" location="'Nacionalidades  evolución mensu'!A1" tooltip="Evolución anual" display="Alojados por nacionalidad"/>
    <hyperlink ref="F24" location="'Nacionalidades '!A1" tooltip="Turistas alojados por nacionalidad" display="Turistas alojados por nacionalidad"/>
    <hyperlink ref="F34" location="'graf. dist NACIONALIDADES'!A1" tooltip="Distribución por nacionalidades" display="Distribución por nacionalidades"/>
    <hyperlink ref="F25" location="'Nacionalidades  evolución mensu'!A1" tooltip="Distribución por nacionalidad" display="Evolución mensual"/>
    <hyperlink ref="F29" location="'Nacionalidad-Alojamiento(datos)'!A1" tooltip="Alojados por categoría y tipología de establecimiento" display="Alojados por categoría y tipología de establecimiento"/>
    <hyperlink ref="F30" location="'Nacionalidad-Alojamiento'!A1" tooltip="Distribución por nacionalidad según categoría y tipología de establecimiento" display="Distribución por nacionalidad según categoría y tipología de establecimiento"/>
    <hyperlink ref="F14" location="'Nacionalidad-evolución cuota'!A1" tooltip="Cuota sobre el total de alojados" display="Cuota sobre el total de alojados"/>
    <hyperlink ref="F27" location="'Distribución Nacionalidades'!A1" tooltip="Distribución por nacionalidad" display="Distribución por nacionalidad"/>
    <hyperlink ref="F26" location="'graficas evol mensual merc'!A1" tooltip="Distribución por nacionalidad" display="Evolución mensual de cada emisor"/>
    <hyperlink ref="F28" location="'Nacionalidad-Alojamiento(datos)'!A1" tooltip="Distribución por nacionalidad" display="Distribución por nacionalidad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89"/>
  <sheetViews>
    <sheetView showGridLines="0" zoomScaleNormal="100" workbookViewId="0">
      <selection activeCell="B25" sqref="B25"/>
    </sheetView>
  </sheetViews>
  <sheetFormatPr baseColWidth="10" defaultRowHeight="15"/>
  <cols>
    <col min="1" max="1" width="16" customWidth="1"/>
    <col min="14" max="14" width="16.42578125" customWidth="1"/>
  </cols>
  <sheetData>
    <row r="1" spans="2:14" ht="66" customHeight="1"/>
    <row r="2" spans="2:14" ht="23.25">
      <c r="B2" s="180" t="s">
        <v>137</v>
      </c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</row>
    <row r="4" spans="2:14" ht="46.5" customHeight="1">
      <c r="B4" s="181" t="s">
        <v>138</v>
      </c>
      <c r="C4" s="182"/>
      <c r="D4" s="182"/>
      <c r="E4" s="182"/>
      <c r="F4" s="182"/>
      <c r="G4" s="183"/>
    </row>
    <row r="5" spans="2:14">
      <c r="B5" s="86"/>
      <c r="C5" s="86">
        <v>2008</v>
      </c>
      <c r="D5" s="86">
        <v>2009</v>
      </c>
      <c r="E5" s="86">
        <v>2010</v>
      </c>
      <c r="F5" s="86" t="s">
        <v>139</v>
      </c>
      <c r="G5" s="86" t="s">
        <v>140</v>
      </c>
    </row>
    <row r="6" spans="2:14">
      <c r="B6" s="184" t="s">
        <v>48</v>
      </c>
      <c r="C6" s="79">
        <f>GETPIVOTDATA("dato",'[1]graficas evolución mensual'!$A$319,"mes",1,"año",2008)</f>
        <v>147131</v>
      </c>
      <c r="D6" s="79">
        <f>GETPIVOTDATA("dato",'[1]graficas evolución mensual'!$A$319,"mes",1,"año",2009)</f>
        <v>136344</v>
      </c>
      <c r="E6" s="79">
        <f>GETPIVOTDATA("dato",'[1]graficas evolución mensual'!$A$319,"mes",1,"año",2010)</f>
        <v>131537</v>
      </c>
      <c r="F6" s="185">
        <f>D6/C6-1</f>
        <v>-7.3315616695325936E-2</v>
      </c>
      <c r="G6" s="185">
        <f>E6/D6-1</f>
        <v>-3.5256410256410242E-2</v>
      </c>
    </row>
    <row r="7" spans="2:14">
      <c r="B7" s="186" t="s">
        <v>47</v>
      </c>
      <c r="C7" s="52">
        <f>GETPIVOTDATA("dato",'[1]graficas evolución mensual'!$A$319,"mes",2,"año",2008)</f>
        <v>168254</v>
      </c>
      <c r="D7" s="52">
        <f>GETPIVOTDATA("dato",'[1]graficas evolución mensual'!$A$319,"mes",2,"año",2009)</f>
        <v>133792</v>
      </c>
      <c r="E7" s="52">
        <f>GETPIVOTDATA("dato",'[1]graficas evolución mensual'!$A$319,"mes",2,"año",2010)</f>
        <v>125419</v>
      </c>
      <c r="F7" s="187">
        <f t="shared" ref="F7:G18" si="0">D7/C7-1</f>
        <v>-0.20482128210919204</v>
      </c>
      <c r="G7" s="187">
        <f t="shared" si="0"/>
        <v>-6.2582217172925114E-2</v>
      </c>
    </row>
    <row r="8" spans="2:14">
      <c r="B8" s="186" t="s">
        <v>46</v>
      </c>
      <c r="C8" s="52">
        <f>GETPIVOTDATA("dato",'[1]graficas evolución mensual'!$A$319,"mes",3,"año",2008)</f>
        <v>183447</v>
      </c>
      <c r="D8" s="52">
        <f>GETPIVOTDATA("dato",'[1]graficas evolución mensual'!$A$319,"mes",3,"año",2009)</f>
        <v>135071</v>
      </c>
      <c r="E8" s="52">
        <f>GETPIVOTDATA("dato",'[1]graficas evolución mensual'!$A$319,"mes",3,"año",2010)</f>
        <v>140329</v>
      </c>
      <c r="F8" s="187">
        <f t="shared" si="0"/>
        <v>-0.2637055934411574</v>
      </c>
      <c r="G8" s="187">
        <f>E8/D8-1</f>
        <v>3.8927675074590384E-2</v>
      </c>
    </row>
    <row r="9" spans="2:14">
      <c r="B9" s="186" t="s">
        <v>45</v>
      </c>
      <c r="C9" s="52">
        <f>GETPIVOTDATA("dato",'[1]graficas evolución mensual'!$A$319,"mes",4,"año",2008)</f>
        <v>154022</v>
      </c>
      <c r="D9" s="52">
        <f>GETPIVOTDATA("dato",'[1]graficas evolución mensual'!$A$319,"mes",4,"año",2009)</f>
        <v>143027</v>
      </c>
      <c r="E9" s="52">
        <f>GETPIVOTDATA("dato",'[1]graficas evolución mensual'!$A$319,"mes",4,"año",2010)</f>
        <v>156611</v>
      </c>
      <c r="F9" s="187">
        <f t="shared" si="0"/>
        <v>-7.1385905909545411E-2</v>
      </c>
      <c r="G9" s="187">
        <f>E9/D9-1</f>
        <v>9.4975074636257428E-2</v>
      </c>
    </row>
    <row r="10" spans="2:14">
      <c r="B10" s="186" t="s">
        <v>44</v>
      </c>
      <c r="C10" s="52">
        <f>GETPIVOTDATA("dato",'[1]graficas evolución mensual'!$A$319,"mes",5,"año",2008)</f>
        <v>153505</v>
      </c>
      <c r="D10" s="52">
        <f>GETPIVOTDATA("dato",'[1]graficas evolución mensual'!$A$319,"mes",5,"año",2009)</f>
        <v>123885</v>
      </c>
      <c r="E10" s="52">
        <f>GETPIVOTDATA("dato",'[1]graficas evolución mensual'!$A$319,"mes",5,"año",2010)</f>
        <v>132519</v>
      </c>
      <c r="F10" s="187">
        <f t="shared" si="0"/>
        <v>-0.19295788410800951</v>
      </c>
      <c r="G10" s="187">
        <f>E10/D10-1</f>
        <v>6.9693667514227009E-2</v>
      </c>
    </row>
    <row r="11" spans="2:14">
      <c r="B11" s="186" t="s">
        <v>43</v>
      </c>
      <c r="C11" s="52">
        <f>GETPIVOTDATA("dato",'[1]graficas evolución mensual'!$A$319,"mes",6,"año",2008)</f>
        <v>146363</v>
      </c>
      <c r="D11" s="52">
        <f>GETPIVOTDATA("dato",'[1]graficas evolución mensual'!$A$319,"mes",6,"año",2009)</f>
        <v>121387</v>
      </c>
      <c r="E11" s="52">
        <f>GETPIVOTDATA("dato",'[1]graficas evolución mensual'!$A$319,"mes",6,"año",2010)</f>
        <v>128897</v>
      </c>
      <c r="F11" s="187">
        <f t="shared" si="0"/>
        <v>-0.17064422019226166</v>
      </c>
      <c r="G11" s="187">
        <f>E11/D11-1</f>
        <v>6.1868239597320906E-2</v>
      </c>
    </row>
    <row r="12" spans="2:14">
      <c r="B12" s="186" t="s">
        <v>42</v>
      </c>
      <c r="C12" s="52">
        <f>GETPIVOTDATA("dato",'[1]graficas evolución mensual'!$A$319,"mes",7,"año",2008)</f>
        <v>161273</v>
      </c>
      <c r="D12" s="52">
        <f>GETPIVOTDATA("dato",'[1]graficas evolución mensual'!$A$319,"mes",7,"año",2009)</f>
        <v>152332</v>
      </c>
      <c r="E12" s="52">
        <f>GETPIVOTDATA("dato",'[1]graficas evolución mensual'!$A$319,"mes",7,"año",2010)</f>
        <v>163371</v>
      </c>
      <c r="F12" s="187">
        <f t="shared" si="0"/>
        <v>-5.5440154272568876E-2</v>
      </c>
      <c r="G12" s="187">
        <f>E12/D12-1</f>
        <v>7.2466717432975392E-2</v>
      </c>
    </row>
    <row r="13" spans="2:14">
      <c r="B13" s="186" t="s">
        <v>41</v>
      </c>
      <c r="C13" s="52">
        <f>GETPIVOTDATA("dato",'[1]graficas evolución mensual'!$A$319,"mes",8,"año",2008)</f>
        <v>187998</v>
      </c>
      <c r="D13" s="52">
        <f>GETPIVOTDATA("dato",'[1]graficas evolución mensual'!$A$319,"mes",8,"año",2009)</f>
        <v>170260</v>
      </c>
      <c r="E13" s="52">
        <f>GETPIVOTDATA("dato",'[1]graficas evolución mensual'!$A$319,"mes",8,"año",2010)</f>
        <v>0</v>
      </c>
      <c r="F13" s="187">
        <f t="shared" si="0"/>
        <v>-9.4352067575186993E-2</v>
      </c>
      <c r="G13" s="187"/>
    </row>
    <row r="14" spans="2:14">
      <c r="B14" s="186" t="s">
        <v>40</v>
      </c>
      <c r="C14" s="52">
        <f>GETPIVOTDATA("dato",'[1]graficas evolución mensual'!$A$319,"mes",9,"año",2008)</f>
        <v>137440</v>
      </c>
      <c r="D14" s="52">
        <f>GETPIVOTDATA("dato",'[1]graficas evolución mensual'!$A$319,"mes",9,"año",2009)</f>
        <v>124595</v>
      </c>
      <c r="E14" s="52">
        <f>GETPIVOTDATA("dato",'[1]graficas evolución mensual'!$A$319,"mes",9,"año",2010)</f>
        <v>0</v>
      </c>
      <c r="F14" s="187">
        <f t="shared" si="0"/>
        <v>-9.3458963911525084E-2</v>
      </c>
      <c r="G14" s="187"/>
    </row>
    <row r="15" spans="2:14">
      <c r="B15" s="186" t="s">
        <v>39</v>
      </c>
      <c r="C15" s="52">
        <f>GETPIVOTDATA("dato",'[1]graficas evolución mensual'!$A$319,"mes",10,"año",2008)</f>
        <v>160443</v>
      </c>
      <c r="D15" s="52">
        <f>GETPIVOTDATA("dato",'[1]graficas evolución mensual'!$A$319,"mes",10,"año",2009)</f>
        <v>145358</v>
      </c>
      <c r="E15" s="52">
        <f>GETPIVOTDATA("dato",'[1]graficas evolución mensual'!$A$319,"mes",10,"año",2010)</f>
        <v>0</v>
      </c>
      <c r="F15" s="187">
        <f t="shared" si="0"/>
        <v>-9.402092955130481E-2</v>
      </c>
      <c r="G15" s="187"/>
    </row>
    <row r="16" spans="2:14">
      <c r="B16" s="186" t="s">
        <v>38</v>
      </c>
      <c r="C16" s="52">
        <f>GETPIVOTDATA("dato",'[1]graficas evolución mensual'!$A$319,"mes",11,"año",2008)</f>
        <v>149092</v>
      </c>
      <c r="D16" s="52">
        <f>GETPIVOTDATA("dato",'[1]graficas evolución mensual'!$A$319,"mes",11,"año",2009)</f>
        <v>130907</v>
      </c>
      <c r="E16" s="52">
        <f>GETPIVOTDATA("dato",'[1]graficas evolución mensual'!$A$319,"mes",11,"año",2010)</f>
        <v>0</v>
      </c>
      <c r="F16" s="187">
        <f t="shared" si="0"/>
        <v>-0.12197166849998664</v>
      </c>
      <c r="G16" s="187"/>
    </row>
    <row r="17" spans="2:7">
      <c r="B17" s="186" t="s">
        <v>37</v>
      </c>
      <c r="C17" s="52">
        <f>GETPIVOTDATA("dato",'[1]graficas evolución mensual'!$A$319,"mes",12,"año",2008)</f>
        <v>141832</v>
      </c>
      <c r="D17" s="52">
        <f>GETPIVOTDATA("dato",'[1]graficas evolución mensual'!$A$319,"mes",12,"año",2009)</f>
        <v>132073</v>
      </c>
      <c r="E17" s="52">
        <f>GETPIVOTDATA("dato",'[1]graficas evolución mensual'!$A$319,"mes",12,"año",2010)</f>
        <v>0</v>
      </c>
      <c r="F17" s="187">
        <f t="shared" si="0"/>
        <v>-6.8806757290315268E-2</v>
      </c>
      <c r="G17" s="187"/>
    </row>
    <row r="18" spans="2:7">
      <c r="B18" s="188" t="s">
        <v>93</v>
      </c>
      <c r="C18" s="82">
        <f>SUM(C6:C17)</f>
        <v>1890800</v>
      </c>
      <c r="D18" s="82">
        <f>SUM(D6:D17)</f>
        <v>1649031</v>
      </c>
      <c r="E18" s="82">
        <f>SUM(E6:E17)</f>
        <v>978683</v>
      </c>
      <c r="F18" s="189">
        <f t="shared" si="0"/>
        <v>-0.12786598265284532</v>
      </c>
      <c r="G18" s="189"/>
    </row>
    <row r="19" spans="2:7" ht="24.75" customHeight="1">
      <c r="B19" s="190" t="s">
        <v>141</v>
      </c>
      <c r="C19" s="191"/>
      <c r="D19" s="191"/>
      <c r="E19" s="191"/>
      <c r="F19" s="191"/>
      <c r="G19" s="192"/>
    </row>
    <row r="20" spans="2:7" ht="7.5" customHeight="1"/>
    <row r="21" spans="2:7" ht="7.5" customHeight="1"/>
    <row r="22" spans="2:7" ht="45.75" customHeight="1">
      <c r="B22" s="181" t="s">
        <v>142</v>
      </c>
      <c r="C22" s="182"/>
      <c r="D22" s="182"/>
      <c r="E22" s="182"/>
      <c r="F22" s="182"/>
      <c r="G22" s="183"/>
    </row>
    <row r="23" spans="2:7">
      <c r="B23" s="86"/>
      <c r="C23" s="86">
        <v>2008</v>
      </c>
      <c r="D23" s="86">
        <v>2009</v>
      </c>
      <c r="E23" s="86">
        <v>2010</v>
      </c>
      <c r="F23" s="86" t="s">
        <v>139</v>
      </c>
      <c r="G23" s="86" t="s">
        <v>140</v>
      </c>
    </row>
    <row r="24" spans="2:7">
      <c r="B24" s="184" t="s">
        <v>48</v>
      </c>
      <c r="C24" s="79">
        <f>GETPIVOTDATA("dato",'[1]graficas evolución mensual'!$A$48,"mes",1,"año",2008)</f>
        <v>54908</v>
      </c>
      <c r="D24" s="79">
        <f>GETPIVOTDATA("dato",'[1]graficas evolución mensual'!$A$48,"mes",1,"año",2009)</f>
        <v>43919</v>
      </c>
      <c r="E24" s="79">
        <f>GETPIVOTDATA("dato",'[1]graficas evolución mensual'!$A$48,"mes",1,"año",2010)</f>
        <v>41811</v>
      </c>
      <c r="F24" s="185">
        <f>D24/C24-1</f>
        <v>-0.20013477088948783</v>
      </c>
      <c r="G24" s="185">
        <f>E24/D24-1</f>
        <v>-4.7997449850861851E-2</v>
      </c>
    </row>
    <row r="25" spans="2:7">
      <c r="B25" s="186" t="s">
        <v>47</v>
      </c>
      <c r="C25" s="52">
        <f>GETPIVOTDATA("dato",'[1]graficas evolución mensual'!$A$48,"mes",2,"año",2008)</f>
        <v>69161</v>
      </c>
      <c r="D25" s="52">
        <f>GETPIVOTDATA("dato",'[1]graficas evolución mensual'!$A$48,"mes",2,"año",2009)</f>
        <v>47411</v>
      </c>
      <c r="E25" s="52">
        <f>GETPIVOTDATA("dato",'[1]graficas evolución mensual'!$A$48,"mes",2,"año",2010)</f>
        <v>42160</v>
      </c>
      <c r="F25" s="187">
        <f t="shared" ref="F25:G36" si="1">D25/C25-1</f>
        <v>-0.31448359624643951</v>
      </c>
      <c r="G25" s="187">
        <f t="shared" si="1"/>
        <v>-0.11075488810613565</v>
      </c>
    </row>
    <row r="26" spans="2:7">
      <c r="B26" s="186" t="s">
        <v>46</v>
      </c>
      <c r="C26" s="52">
        <f>GETPIVOTDATA("dato",'[1]graficas evolución mensual'!$A$48,"mes",3,"año",2008)</f>
        <v>64355</v>
      </c>
      <c r="D26" s="52">
        <f>GETPIVOTDATA("dato",'[1]graficas evolución mensual'!$A$48,"mes",3,"año",2009)</f>
        <v>47234</v>
      </c>
      <c r="E26" s="52">
        <f>GETPIVOTDATA("dato",'[1]graficas evolución mensual'!$A$48,"mes",3,"año",2010)</f>
        <v>46291</v>
      </c>
      <c r="F26" s="187">
        <f t="shared" si="1"/>
        <v>-0.26603993473700571</v>
      </c>
      <c r="G26" s="187">
        <f t="shared" si="1"/>
        <v>-1.9964432400389587E-2</v>
      </c>
    </row>
    <row r="27" spans="2:7">
      <c r="B27" s="186" t="s">
        <v>45</v>
      </c>
      <c r="C27" s="52">
        <f>GETPIVOTDATA("dato",'[1]graficas evolución mensual'!$A$48,"mes",4,"año",2008)</f>
        <v>58180</v>
      </c>
      <c r="D27" s="52">
        <f>GETPIVOTDATA("dato",'[1]graficas evolución mensual'!$A$48,"mes",4,"año",2009)</f>
        <v>47192</v>
      </c>
      <c r="E27" s="52">
        <f>GETPIVOTDATA("dato",'[1]graficas evolución mensual'!$A$48,"mes",4,"año",2010)</f>
        <v>56191</v>
      </c>
      <c r="F27" s="187">
        <f t="shared" si="1"/>
        <v>-0.1888621519422482</v>
      </c>
      <c r="G27" s="187">
        <f t="shared" si="1"/>
        <v>0.19068909984743176</v>
      </c>
    </row>
    <row r="28" spans="2:7">
      <c r="B28" s="186" t="s">
        <v>44</v>
      </c>
      <c r="C28" s="52">
        <f>GETPIVOTDATA("dato",'[1]graficas evolución mensual'!$A$48,"mes",5,"año",2008)</f>
        <v>55122</v>
      </c>
      <c r="D28" s="52">
        <f>GETPIVOTDATA("dato",'[1]graficas evolución mensual'!$A$48,"mes",5,"año",2009)</f>
        <v>44145</v>
      </c>
      <c r="E28" s="52">
        <f>GETPIVOTDATA("dato",'[1]graficas evolución mensual'!$A$48,"mes",5,"año",2010)</f>
        <v>42998</v>
      </c>
      <c r="F28" s="187">
        <f t="shared" si="1"/>
        <v>-0.19914008925655813</v>
      </c>
      <c r="G28" s="187">
        <f t="shared" si="1"/>
        <v>-2.5982557481028401E-2</v>
      </c>
    </row>
    <row r="29" spans="2:7">
      <c r="B29" s="186" t="s">
        <v>43</v>
      </c>
      <c r="C29" s="52">
        <f>GETPIVOTDATA("dato",'[1]graficas evolución mensual'!$A$48,"mes",6,"año",2008)</f>
        <v>50383</v>
      </c>
      <c r="D29" s="52">
        <f>GETPIVOTDATA("dato",'[1]graficas evolución mensual'!$A$48,"mes",6,"año",2009)</f>
        <v>40765</v>
      </c>
      <c r="E29" s="52">
        <f>GETPIVOTDATA("dato",'[1]graficas evolución mensual'!$A$48,"mes",6,"año",2010)</f>
        <v>45854</v>
      </c>
      <c r="F29" s="187">
        <f t="shared" si="1"/>
        <v>-0.19089772343846134</v>
      </c>
      <c r="G29" s="187">
        <f t="shared" si="1"/>
        <v>0.12483748313504228</v>
      </c>
    </row>
    <row r="30" spans="2:7">
      <c r="B30" s="186" t="s">
        <v>42</v>
      </c>
      <c r="C30" s="52">
        <f>GETPIVOTDATA("dato",'[1]graficas evolución mensual'!$A$48,"mes",7,"año",2008)</f>
        <v>54207</v>
      </c>
      <c r="D30" s="52">
        <f>GETPIVOTDATA("dato",'[1]graficas evolución mensual'!$A$48,"mes",7,"año",2009)</f>
        <v>45475</v>
      </c>
      <c r="E30" s="52">
        <f>GETPIVOTDATA("dato",'[1]graficas evolución mensual'!$A$48,"mes",7,"año",2010)</f>
        <v>49876</v>
      </c>
      <c r="F30" s="187">
        <f t="shared" si="1"/>
        <v>-0.16108620657848616</v>
      </c>
      <c r="G30" s="187">
        <f t="shared" si="1"/>
        <v>9.6778449697636049E-2</v>
      </c>
    </row>
    <row r="31" spans="2:7">
      <c r="B31" s="186" t="s">
        <v>41</v>
      </c>
      <c r="C31" s="52">
        <f>GETPIVOTDATA("dato",'[1]graficas evolución mensual'!$A$48,"mes",8,"año",2008)</f>
        <v>56675</v>
      </c>
      <c r="D31" s="52">
        <f>GETPIVOTDATA("dato",'[1]graficas evolución mensual'!$A$48,"mes",8,"año",2009)</f>
        <v>42289</v>
      </c>
      <c r="E31" s="52">
        <f>GETPIVOTDATA("dato",'[1]graficas evolución mensual'!$A$48,"mes",8,"año",2010)</f>
        <v>0</v>
      </c>
      <c r="F31" s="187">
        <f t="shared" si="1"/>
        <v>-0.25383325981473315</v>
      </c>
      <c r="G31" s="187"/>
    </row>
    <row r="32" spans="2:7">
      <c r="B32" s="186" t="s">
        <v>40</v>
      </c>
      <c r="C32" s="52">
        <f>GETPIVOTDATA("dato",'[1]graficas evolución mensual'!$A$48,"mes",9,"año",2008)</f>
        <v>46504</v>
      </c>
      <c r="D32" s="52">
        <f>GETPIVOTDATA("dato",'[1]graficas evolución mensual'!$A$48,"mes",9,"año",2009)</f>
        <v>41479</v>
      </c>
      <c r="E32" s="52">
        <f>GETPIVOTDATA("dato",'[1]graficas evolución mensual'!$A$48,"mes",9,"año",2010)</f>
        <v>0</v>
      </c>
      <c r="F32" s="187">
        <f t="shared" si="1"/>
        <v>-0.1080552210562532</v>
      </c>
      <c r="G32" s="187"/>
    </row>
    <row r="33" spans="2:7">
      <c r="B33" s="186" t="s">
        <v>39</v>
      </c>
      <c r="C33" s="52">
        <f>GETPIVOTDATA("dato",'[1]graficas evolución mensual'!$A$48,"mes",10,"año",2008)</f>
        <v>60542</v>
      </c>
      <c r="D33" s="52">
        <f>GETPIVOTDATA("dato",'[1]graficas evolución mensual'!$A$48,"mes",10,"año",2009)</f>
        <v>54449</v>
      </c>
      <c r="E33" s="52">
        <f>GETPIVOTDATA("dato",'[1]graficas evolución mensual'!$A$48,"mes",10,"año",2010)</f>
        <v>0</v>
      </c>
      <c r="F33" s="187">
        <f t="shared" si="1"/>
        <v>-0.10064087740741967</v>
      </c>
      <c r="G33" s="187"/>
    </row>
    <row r="34" spans="2:7">
      <c r="B34" s="186" t="s">
        <v>38</v>
      </c>
      <c r="C34" s="52">
        <f>GETPIVOTDATA("dato",'[1]graficas evolución mensual'!$A$48,"mes",11,"año",2008)</f>
        <v>48774</v>
      </c>
      <c r="D34" s="52">
        <f>GETPIVOTDATA("dato",'[1]graficas evolución mensual'!$A$48,"mes",11,"año",2009)</f>
        <v>44733</v>
      </c>
      <c r="E34" s="52">
        <f>GETPIVOTDATA("dato",'[1]graficas evolución mensual'!$A$48,"mes",11,"año",2010)</f>
        <v>0</v>
      </c>
      <c r="F34" s="187">
        <f t="shared" si="1"/>
        <v>-8.2851519252060579E-2</v>
      </c>
      <c r="G34" s="187"/>
    </row>
    <row r="35" spans="2:7">
      <c r="B35" s="186" t="s">
        <v>37</v>
      </c>
      <c r="C35" s="52">
        <f>GETPIVOTDATA("dato",'[1]graficas evolución mensual'!$A$48,"mes",12,"año",2008)</f>
        <v>52449</v>
      </c>
      <c r="D35" s="52">
        <f>GETPIVOTDATA("dato",'[1]graficas evolución mensual'!$A$48,"mes",12,"año",2009)</f>
        <v>45804</v>
      </c>
      <c r="E35" s="52">
        <f>GETPIVOTDATA("dato",'[1]graficas evolución mensual'!$A$48,"mes",12,"año",2010)</f>
        <v>0</v>
      </c>
      <c r="F35" s="187">
        <f t="shared" si="1"/>
        <v>-0.12669450323171083</v>
      </c>
      <c r="G35" s="187"/>
    </row>
    <row r="36" spans="2:7">
      <c r="B36" s="188" t="s">
        <v>93</v>
      </c>
      <c r="C36" s="82">
        <f>SUM(C24:C35)</f>
        <v>671260</v>
      </c>
      <c r="D36" s="82">
        <f>SUM(D24:D35)</f>
        <v>544895</v>
      </c>
      <c r="E36" s="82">
        <f>SUM(E24:E35)</f>
        <v>325181</v>
      </c>
      <c r="F36" s="189">
        <f t="shared" si="1"/>
        <v>-0.18825045436939492</v>
      </c>
      <c r="G36" s="189"/>
    </row>
    <row r="37" spans="2:7" ht="24" customHeight="1">
      <c r="B37" s="190" t="s">
        <v>141</v>
      </c>
      <c r="C37" s="191"/>
      <c r="D37" s="191"/>
      <c r="E37" s="191"/>
      <c r="F37" s="191"/>
      <c r="G37" s="192"/>
    </row>
    <row r="38" spans="2:7" ht="7.5" customHeight="1">
      <c r="B38" s="193"/>
      <c r="C38" s="193"/>
      <c r="D38" s="193"/>
      <c r="E38" s="193"/>
      <c r="F38" s="193"/>
    </row>
    <row r="39" spans="2:7" ht="8.25" customHeight="1"/>
    <row r="40" spans="2:7" ht="45.75" customHeight="1">
      <c r="B40" s="181" t="s">
        <v>143</v>
      </c>
      <c r="C40" s="182"/>
      <c r="D40" s="182"/>
      <c r="E40" s="182"/>
      <c r="F40" s="182"/>
      <c r="G40" s="183"/>
    </row>
    <row r="41" spans="2:7">
      <c r="B41" s="86"/>
      <c r="C41" s="86">
        <v>2008</v>
      </c>
      <c r="D41" s="86">
        <v>2009</v>
      </c>
      <c r="E41" s="86">
        <v>2010</v>
      </c>
      <c r="F41" s="86" t="s">
        <v>139</v>
      </c>
      <c r="G41" s="86" t="s">
        <v>140</v>
      </c>
    </row>
    <row r="42" spans="2:7">
      <c r="B42" s="184" t="s">
        <v>48</v>
      </c>
      <c r="C42" s="79">
        <f>GETPIVOTDATA("dato",'[1]graficas evolución mensual'!$A$27,"mes",1,"año",2008)</f>
        <v>14341</v>
      </c>
      <c r="D42" s="79">
        <f>GETPIVOTDATA("dato",'[1]graficas evolución mensual'!$A$27,"mes",1,"año",2009)</f>
        <v>17017</v>
      </c>
      <c r="E42" s="79">
        <f>GETPIVOTDATA("dato",'[1]graficas evolución mensual'!$A$27,"mes",1,"año",2010)</f>
        <v>17949</v>
      </c>
      <c r="F42" s="185">
        <f>D42/C42-1</f>
        <v>0.18659786625758312</v>
      </c>
      <c r="G42" s="185">
        <f>E42/D42-1</f>
        <v>5.4768760651113579E-2</v>
      </c>
    </row>
    <row r="43" spans="2:7">
      <c r="B43" s="186" t="s">
        <v>47</v>
      </c>
      <c r="C43" s="52">
        <f>GETPIVOTDATA("dato",'[1]graficas evolución mensual'!$A$27,"mes",2,"año",2008)</f>
        <v>16732</v>
      </c>
      <c r="D43" s="52">
        <f>GETPIVOTDATA("dato",'[1]graficas evolución mensual'!$A$27,"mes",2,"año",2009)</f>
        <v>15268</v>
      </c>
      <c r="E43" s="52">
        <f>GETPIVOTDATA("dato",'[1]graficas evolución mensual'!$A$27,"mes",2,"año",2010)</f>
        <v>17537</v>
      </c>
      <c r="F43" s="187">
        <f t="shared" ref="F43:G54" si="2">D43/C43-1</f>
        <v>-8.7497011714080752E-2</v>
      </c>
      <c r="G43" s="187">
        <f t="shared" si="2"/>
        <v>0.1486114749803511</v>
      </c>
    </row>
    <row r="44" spans="2:7">
      <c r="B44" s="186" t="s">
        <v>46</v>
      </c>
      <c r="C44" s="52">
        <f>GETPIVOTDATA("dato",'[1]graficas evolución mensual'!$A$27,"mes",3,"año",2008)</f>
        <v>27131</v>
      </c>
      <c r="D44" s="52">
        <f>GETPIVOTDATA("dato",'[1]graficas evolución mensual'!$A$27,"mes",3,"año",2009)</f>
        <v>15506</v>
      </c>
      <c r="E44" s="52">
        <f>GETPIVOTDATA("dato",'[1]graficas evolución mensual'!$A$27,"mes",3,"año",2010)</f>
        <v>25081</v>
      </c>
      <c r="F44" s="187">
        <f t="shared" si="2"/>
        <v>-0.42847665032619509</v>
      </c>
      <c r="G44" s="187">
        <f t="shared" si="2"/>
        <v>0.61750290210241188</v>
      </c>
    </row>
    <row r="45" spans="2:7">
      <c r="B45" s="186" t="s">
        <v>45</v>
      </c>
      <c r="C45" s="52">
        <f>GETPIVOTDATA("dato",'[1]graficas evolución mensual'!$A$27,"mes",4,"año",2008)</f>
        <v>24716</v>
      </c>
      <c r="D45" s="52">
        <f>GETPIVOTDATA("dato",'[1]graficas evolución mensual'!$A$27,"mes",4,"año",2009)</f>
        <v>28804</v>
      </c>
      <c r="E45" s="52">
        <f>GETPIVOTDATA("dato",'[1]graficas evolución mensual'!$A$27,"mes",4,"año",2010)</f>
        <v>35773</v>
      </c>
      <c r="F45" s="187">
        <f t="shared" si="2"/>
        <v>0.16539893186599763</v>
      </c>
      <c r="G45" s="187">
        <f t="shared" si="2"/>
        <v>0.24194556311623394</v>
      </c>
    </row>
    <row r="46" spans="2:7">
      <c r="B46" s="186" t="s">
        <v>44</v>
      </c>
      <c r="C46" s="52">
        <f>GETPIVOTDATA("dato",'[1]graficas evolución mensual'!$A$27,"mes",5,"año",2008)</f>
        <v>37820</v>
      </c>
      <c r="D46" s="52">
        <f>GETPIVOTDATA("dato",'[1]graficas evolución mensual'!$A$27,"mes",5,"año",2009)</f>
        <v>35470</v>
      </c>
      <c r="E46" s="52">
        <f>GETPIVOTDATA("dato",'[1]graficas evolución mensual'!$A$27,"mes",5,"año",2010)</f>
        <v>40612</v>
      </c>
      <c r="F46" s="187">
        <f t="shared" si="2"/>
        <v>-6.2136435748281316E-2</v>
      </c>
      <c r="G46" s="187">
        <f t="shared" si="2"/>
        <v>0.14496757823512829</v>
      </c>
    </row>
    <row r="47" spans="2:7">
      <c r="B47" s="186" t="s">
        <v>43</v>
      </c>
      <c r="C47" s="52">
        <f>GETPIVOTDATA("dato",'[1]graficas evolución mensual'!$A$27,"mes",6,"año",2008)</f>
        <v>40133</v>
      </c>
      <c r="D47" s="52">
        <f>GETPIVOTDATA("dato",'[1]graficas evolución mensual'!$A$27,"mes",6,"año",2009)</f>
        <v>33141</v>
      </c>
      <c r="E47" s="52">
        <f>GETPIVOTDATA("dato",'[1]graficas evolución mensual'!$A$27,"mes",6,"año",2010)</f>
        <v>33192</v>
      </c>
      <c r="F47" s="187">
        <f t="shared" si="2"/>
        <v>-0.17422071611890466</v>
      </c>
      <c r="G47" s="187">
        <f t="shared" si="2"/>
        <v>1.5388793337558493E-3</v>
      </c>
    </row>
    <row r="48" spans="2:7">
      <c r="B48" s="186" t="s">
        <v>42</v>
      </c>
      <c r="C48" s="52">
        <f>GETPIVOTDATA("dato",'[1]graficas evolución mensual'!$A$27,"mes",7,"año",2008)</f>
        <v>45703</v>
      </c>
      <c r="D48" s="52">
        <f>GETPIVOTDATA("dato",'[1]graficas evolución mensual'!$A$27,"mes",7,"año",2009)</f>
        <v>47821</v>
      </c>
      <c r="E48" s="52">
        <f>GETPIVOTDATA("dato",'[1]graficas evolución mensual'!$A$27,"mes",7,"año",2010)</f>
        <v>47374</v>
      </c>
      <c r="F48" s="187">
        <f t="shared" si="2"/>
        <v>4.6342690851804091E-2</v>
      </c>
      <c r="G48" s="187">
        <f t="shared" si="2"/>
        <v>-9.3473578553354697E-3</v>
      </c>
    </row>
    <row r="49" spans="2:7">
      <c r="B49" s="186" t="s">
        <v>41</v>
      </c>
      <c r="C49" s="52">
        <f>GETPIVOTDATA("dato",'[1]graficas evolución mensual'!$A$27,"mes",8,"año",2008)</f>
        <v>63676</v>
      </c>
      <c r="D49" s="52">
        <f>GETPIVOTDATA("dato",'[1]graficas evolución mensual'!$A$27,"mes",8,"año",2009)</f>
        <v>68499</v>
      </c>
      <c r="E49" s="52">
        <f>GETPIVOTDATA("dato",'[1]graficas evolución mensual'!$A$27,"mes",8,"año",2010)</f>
        <v>0</v>
      </c>
      <c r="F49" s="187">
        <f t="shared" si="2"/>
        <v>7.5742823041648366E-2</v>
      </c>
      <c r="G49" s="187"/>
    </row>
    <row r="50" spans="2:7">
      <c r="B50" s="186" t="s">
        <v>40</v>
      </c>
      <c r="C50" s="52">
        <f>GETPIVOTDATA("dato",'[1]graficas evolución mensual'!$A$27,"mes",9,"año",2008)</f>
        <v>37318</v>
      </c>
      <c r="D50" s="52">
        <f>GETPIVOTDATA("dato",'[1]graficas evolución mensual'!$A$27,"mes",9,"año",2009)</f>
        <v>35046</v>
      </c>
      <c r="E50" s="52">
        <f>GETPIVOTDATA("dato",'[1]graficas evolución mensual'!$A$27,"mes",9,"año",2010)</f>
        <v>0</v>
      </c>
      <c r="F50" s="187">
        <f t="shared" si="2"/>
        <v>-6.0882148025081739E-2</v>
      </c>
      <c r="G50" s="187"/>
    </row>
    <row r="51" spans="2:7">
      <c r="B51" s="186" t="s">
        <v>39</v>
      </c>
      <c r="C51" s="52">
        <f>GETPIVOTDATA("dato",'[1]graficas evolución mensual'!$A$27,"mes",10,"año",2008)</f>
        <v>24705</v>
      </c>
      <c r="D51" s="52">
        <f>GETPIVOTDATA("dato",'[1]graficas evolución mensual'!$A$27,"mes",10,"año",2009)</f>
        <v>27996</v>
      </c>
      <c r="E51" s="52">
        <f>GETPIVOTDATA("dato",'[1]graficas evolución mensual'!$A$27,"mes",10,"año",2010)</f>
        <v>0</v>
      </c>
      <c r="F51" s="187">
        <f t="shared" si="2"/>
        <v>0.13321190042501518</v>
      </c>
      <c r="G51" s="187"/>
    </row>
    <row r="52" spans="2:7">
      <c r="B52" s="186" t="s">
        <v>38</v>
      </c>
      <c r="C52" s="52">
        <f>GETPIVOTDATA("dato",'[1]graficas evolución mensual'!$A$27,"mes",11,"año",2008)</f>
        <v>23122</v>
      </c>
      <c r="D52" s="52">
        <f>GETPIVOTDATA("dato",'[1]graficas evolución mensual'!$A$27,"mes",11,"año",2009)</f>
        <v>18367</v>
      </c>
      <c r="E52" s="52">
        <f>GETPIVOTDATA("dato",'[1]graficas evolución mensual'!$A$27,"mes",11,"año",2010)</f>
        <v>0</v>
      </c>
      <c r="F52" s="187">
        <f t="shared" si="2"/>
        <v>-0.20564830032004155</v>
      </c>
      <c r="G52" s="187"/>
    </row>
    <row r="53" spans="2:7">
      <c r="B53" s="186" t="s">
        <v>37</v>
      </c>
      <c r="C53" s="52">
        <f>GETPIVOTDATA("dato",'[1]graficas evolución mensual'!$A$27,"mes",12,"año",2008)</f>
        <v>21973</v>
      </c>
      <c r="D53" s="52">
        <f>GETPIVOTDATA("dato",'[1]graficas evolución mensual'!$A$27,"mes",12,"año",2009)</f>
        <v>24038</v>
      </c>
      <c r="E53" s="52">
        <f>GETPIVOTDATA("dato",'[1]graficas evolución mensual'!$A$27,"mes",12,"año",2010)</f>
        <v>0</v>
      </c>
      <c r="F53" s="187">
        <f t="shared" si="2"/>
        <v>9.3978974195603637E-2</v>
      </c>
      <c r="G53" s="187"/>
    </row>
    <row r="54" spans="2:7">
      <c r="B54" s="188" t="s">
        <v>93</v>
      </c>
      <c r="C54" s="82">
        <f>SUM(C42:C53)</f>
        <v>377370</v>
      </c>
      <c r="D54" s="82">
        <f>SUM(D42:D53)</f>
        <v>366973</v>
      </c>
      <c r="E54" s="82">
        <f>SUM(E42:E53)</f>
        <v>217518</v>
      </c>
      <c r="F54" s="189">
        <f t="shared" si="2"/>
        <v>-2.7551209688104539E-2</v>
      </c>
      <c r="G54" s="189"/>
    </row>
    <row r="55" spans="2:7" ht="24.75" customHeight="1">
      <c r="B55" s="190" t="s">
        <v>141</v>
      </c>
      <c r="C55" s="191"/>
      <c r="D55" s="191"/>
      <c r="E55" s="191"/>
      <c r="F55" s="191"/>
      <c r="G55" s="192"/>
    </row>
    <row r="56" spans="2:7" ht="8.25" customHeight="1"/>
    <row r="57" spans="2:7" ht="7.5" customHeight="1"/>
    <row r="58" spans="2:7" ht="45" customHeight="1">
      <c r="B58" s="181" t="s">
        <v>144</v>
      </c>
      <c r="C58" s="182"/>
      <c r="D58" s="182"/>
      <c r="E58" s="182"/>
      <c r="F58" s="182"/>
      <c r="G58" s="183"/>
    </row>
    <row r="59" spans="2:7">
      <c r="B59" s="86"/>
      <c r="C59" s="86">
        <v>2008</v>
      </c>
      <c r="D59" s="86">
        <v>2009</v>
      </c>
      <c r="E59" s="86">
        <v>2010</v>
      </c>
      <c r="F59" s="86" t="s">
        <v>139</v>
      </c>
      <c r="G59" s="86" t="s">
        <v>140</v>
      </c>
    </row>
    <row r="60" spans="2:7">
      <c r="B60" s="184" t="s">
        <v>48</v>
      </c>
      <c r="C60" s="79">
        <f>GETPIVOTDATA("dato",'[1]graficas evolución mensual'!$A$6,"mes",1,"año",2008)</f>
        <v>21821</v>
      </c>
      <c r="D60" s="79">
        <f>GETPIVOTDATA("dato",'[1]graficas evolución mensual'!$A$6,"mes",1,"año",2009)</f>
        <v>19733</v>
      </c>
      <c r="E60" s="79">
        <f>GETPIVOTDATA("dato",'[1]graficas evolución mensual'!$A$6,"mes",1,"año",2010)</f>
        <v>20047</v>
      </c>
      <c r="F60" s="185">
        <f>D60/C60-1</f>
        <v>-9.5687640346455272E-2</v>
      </c>
      <c r="G60" s="185">
        <f>E60/D60-1</f>
        <v>1.5912430953225476E-2</v>
      </c>
    </row>
    <row r="61" spans="2:7">
      <c r="B61" s="186" t="s">
        <v>47</v>
      </c>
      <c r="C61" s="52">
        <f>GETPIVOTDATA("dato",'[1]graficas evolución mensual'!$A$6,"mes",2,"año",2008)</f>
        <v>22634</v>
      </c>
      <c r="D61" s="52">
        <f>GETPIVOTDATA("dato",'[1]graficas evolución mensual'!$A$6,"mes",2,"año",2009)</f>
        <v>17740</v>
      </c>
      <c r="E61" s="52">
        <f>GETPIVOTDATA("dato",'[1]graficas evolución mensual'!$A$6,"mes",2,"año",2010)</f>
        <v>17950</v>
      </c>
      <c r="F61" s="187">
        <f t="shared" ref="F61:G72" si="3">D61/C61-1</f>
        <v>-0.216223380754617</v>
      </c>
      <c r="G61" s="187">
        <f t="shared" si="3"/>
        <v>1.1837655016911031E-2</v>
      </c>
    </row>
    <row r="62" spans="2:7">
      <c r="B62" s="186" t="s">
        <v>46</v>
      </c>
      <c r="C62" s="52">
        <f>GETPIVOTDATA("dato",'[1]graficas evolución mensual'!$A$6,"mes",3,"año",2008)</f>
        <v>30269</v>
      </c>
      <c r="D62" s="52">
        <f>GETPIVOTDATA("dato",'[1]graficas evolución mensual'!$A$6,"mes",3,"año",2009)</f>
        <v>18939</v>
      </c>
      <c r="E62" s="52">
        <f>GETPIVOTDATA("dato",'[1]graficas evolución mensual'!$A$6,"mes",3,"año",2010)</f>
        <v>20964</v>
      </c>
      <c r="F62" s="187">
        <f t="shared" si="3"/>
        <v>-0.37431035052363804</v>
      </c>
      <c r="G62" s="187">
        <f t="shared" si="3"/>
        <v>0.10692222398225892</v>
      </c>
    </row>
    <row r="63" spans="2:7">
      <c r="B63" s="186" t="s">
        <v>45</v>
      </c>
      <c r="C63" s="52">
        <f>GETPIVOTDATA("dato",'[1]graficas evolución mensual'!$A$6,"mes",4,"año",2008)</f>
        <v>25442</v>
      </c>
      <c r="D63" s="52">
        <f>GETPIVOTDATA("dato",'[1]graficas evolución mensual'!$A$6,"mes",4,"año",2009)</f>
        <v>20387</v>
      </c>
      <c r="E63" s="52">
        <f>GETPIVOTDATA("dato",'[1]graficas evolución mensual'!$A$6,"mes",4,"año",2010)</f>
        <v>19534</v>
      </c>
      <c r="F63" s="187">
        <f t="shared" si="3"/>
        <v>-0.19868721012499013</v>
      </c>
      <c r="G63" s="187">
        <f t="shared" si="3"/>
        <v>-4.1840388482856761E-2</v>
      </c>
    </row>
    <row r="64" spans="2:7">
      <c r="B64" s="186" t="s">
        <v>44</v>
      </c>
      <c r="C64" s="52">
        <f>GETPIVOTDATA("dato",'[1]graficas evolución mensual'!$A$6,"mes",5,"año",2008)</f>
        <v>22935</v>
      </c>
      <c r="D64" s="52">
        <f>GETPIVOTDATA("dato",'[1]graficas evolución mensual'!$A$6,"mes",5,"año",2009)</f>
        <v>15211</v>
      </c>
      <c r="E64" s="52">
        <f>GETPIVOTDATA("dato",'[1]graficas evolución mensual'!$A$6,"mes",5,"año",2010)</f>
        <v>17833</v>
      </c>
      <c r="F64" s="187">
        <f t="shared" si="3"/>
        <v>-0.33677785044691522</v>
      </c>
      <c r="G64" s="187">
        <f t="shared" si="3"/>
        <v>0.17237525474985205</v>
      </c>
    </row>
    <row r="65" spans="2:7">
      <c r="B65" s="186" t="s">
        <v>43</v>
      </c>
      <c r="C65" s="52">
        <f>GETPIVOTDATA("dato",'[1]graficas evolución mensual'!$A$6,"mes",6,"año",2008)</f>
        <v>21383</v>
      </c>
      <c r="D65" s="52">
        <f>GETPIVOTDATA("dato",'[1]graficas evolución mensual'!$A$6,"mes",6,"año",2009)</f>
        <v>15773</v>
      </c>
      <c r="E65" s="52">
        <f>GETPIVOTDATA("dato",'[1]graficas evolución mensual'!$A$6,"mes",6,"año",2010)</f>
        <v>17576</v>
      </c>
      <c r="F65" s="187">
        <f t="shared" si="3"/>
        <v>-0.26235794790253941</v>
      </c>
      <c r="G65" s="187">
        <f t="shared" si="3"/>
        <v>0.11430926266404606</v>
      </c>
    </row>
    <row r="66" spans="2:7">
      <c r="B66" s="186" t="s">
        <v>42</v>
      </c>
      <c r="C66" s="52">
        <f>GETPIVOTDATA("dato",'[1]graficas evolución mensual'!$A$6,"mes",7,"año",2008)</f>
        <v>19585</v>
      </c>
      <c r="D66" s="52">
        <f>GETPIVOTDATA("dato",'[1]graficas evolución mensual'!$A$6,"mes",7,"año",2009)</f>
        <v>17699</v>
      </c>
      <c r="E66" s="52">
        <f>GETPIVOTDATA("dato",'[1]graficas evolución mensual'!$A$6,"mes",7,"año",2010)</f>
        <v>18520</v>
      </c>
      <c r="F66" s="187">
        <f t="shared" si="3"/>
        <v>-9.6298187388307421E-2</v>
      </c>
      <c r="G66" s="187">
        <f t="shared" si="3"/>
        <v>4.638680151420993E-2</v>
      </c>
    </row>
    <row r="67" spans="2:7">
      <c r="B67" s="186" t="s">
        <v>41</v>
      </c>
      <c r="C67" s="52">
        <f>GETPIVOTDATA("dato",'[1]graficas evolución mensual'!$A$6,"mes",8,"año",2008)</f>
        <v>20729</v>
      </c>
      <c r="D67" s="52">
        <f>GETPIVOTDATA("dato",'[1]graficas evolución mensual'!$A$6,"mes",8,"año",2009)</f>
        <v>16542</v>
      </c>
      <c r="E67" s="52">
        <f>GETPIVOTDATA("dato",'[1]graficas evolución mensual'!$A$6,"mes",8,"año",2010)</f>
        <v>0</v>
      </c>
      <c r="F67" s="187">
        <f t="shared" si="3"/>
        <v>-0.20198755366877319</v>
      </c>
      <c r="G67" s="187"/>
    </row>
    <row r="68" spans="2:7">
      <c r="B68" s="186" t="s">
        <v>40</v>
      </c>
      <c r="C68" s="52">
        <f>GETPIVOTDATA("dato",'[1]graficas evolución mensual'!$A$6,"mes",9,"año",2008)</f>
        <v>19180</v>
      </c>
      <c r="D68" s="52">
        <f>GETPIVOTDATA("dato",'[1]graficas evolución mensual'!$A$6,"mes",9,"año",2009)</f>
        <v>17237</v>
      </c>
      <c r="E68" s="52">
        <f>GETPIVOTDATA("dato",'[1]graficas evolución mensual'!$A$6,"mes",9,"año",2010)</f>
        <v>0</v>
      </c>
      <c r="F68" s="187">
        <f t="shared" si="3"/>
        <v>-0.10130344108446299</v>
      </c>
      <c r="G68" s="187"/>
    </row>
    <row r="69" spans="2:7">
      <c r="B69" s="186" t="s">
        <v>39</v>
      </c>
      <c r="C69" s="52">
        <f>GETPIVOTDATA("dato",'[1]graficas evolución mensual'!$A$6,"mes",10,"año",2008)</f>
        <v>21705</v>
      </c>
      <c r="D69" s="52">
        <f>GETPIVOTDATA("dato",'[1]graficas evolución mensual'!$A$6,"mes",10,"año",2009)</f>
        <v>20125</v>
      </c>
      <c r="E69" s="52">
        <f>GETPIVOTDATA("dato",'[1]graficas evolución mensual'!$A$6,"mes",10,"año",2010)</f>
        <v>0</v>
      </c>
      <c r="F69" s="187">
        <f t="shared" si="3"/>
        <v>-7.2794287030638061E-2</v>
      </c>
      <c r="G69" s="187"/>
    </row>
    <row r="70" spans="2:7">
      <c r="B70" s="186" t="s">
        <v>38</v>
      </c>
      <c r="C70" s="52">
        <f>GETPIVOTDATA("dato",'[1]graficas evolución mensual'!$A$6,"mes",11,"año",2008)</f>
        <v>24718</v>
      </c>
      <c r="D70" s="52">
        <f>GETPIVOTDATA("dato",'[1]graficas evolución mensual'!$A$6,"mes",11,"año",2009)</f>
        <v>21499</v>
      </c>
      <c r="E70" s="52">
        <f>GETPIVOTDATA("dato",'[1]graficas evolución mensual'!$A$6,"mes",11,"año",2010)</f>
        <v>0</v>
      </c>
      <c r="F70" s="187">
        <f t="shared" si="3"/>
        <v>-0.13022898292742136</v>
      </c>
      <c r="G70" s="187"/>
    </row>
    <row r="71" spans="2:7">
      <c r="B71" s="186" t="s">
        <v>37</v>
      </c>
      <c r="C71" s="52">
        <f>GETPIVOTDATA("dato",'[1]graficas evolución mensual'!$A$6,"mes",12,"año",2008)</f>
        <v>18875</v>
      </c>
      <c r="D71" s="52">
        <f>GETPIVOTDATA("dato",'[1]graficas evolución mensual'!$A$6,"mes",12,"año",2009)</f>
        <v>18167</v>
      </c>
      <c r="E71" s="52">
        <f>GETPIVOTDATA("dato",'[1]graficas evolución mensual'!$A$6,"mes",12,"año",2010)</f>
        <v>0</v>
      </c>
      <c r="F71" s="187">
        <f t="shared" si="3"/>
        <v>-3.750993377483447E-2</v>
      </c>
      <c r="G71" s="187"/>
    </row>
    <row r="72" spans="2:7">
      <c r="B72" s="188" t="s">
        <v>93</v>
      </c>
      <c r="C72" s="82">
        <f>SUM(C60:C71)</f>
        <v>269276</v>
      </c>
      <c r="D72" s="82">
        <f>SUM(D60:D71)</f>
        <v>219052</v>
      </c>
      <c r="E72" s="82">
        <f>SUM(E60:E71)</f>
        <v>132424</v>
      </c>
      <c r="F72" s="189">
        <f t="shared" si="3"/>
        <v>-0.18651495120248374</v>
      </c>
      <c r="G72" s="189"/>
    </row>
    <row r="73" spans="2:7" ht="22.5" customHeight="1">
      <c r="B73" s="190" t="s">
        <v>141</v>
      </c>
      <c r="C73" s="191"/>
      <c r="D73" s="191"/>
      <c r="E73" s="191"/>
      <c r="F73" s="191"/>
      <c r="G73" s="192"/>
    </row>
    <row r="74" spans="2:7" ht="9" customHeight="1"/>
    <row r="75" spans="2:7" ht="9.75" customHeight="1"/>
    <row r="76" spans="2:7" ht="46.5" customHeight="1">
      <c r="B76" s="181" t="s">
        <v>145</v>
      </c>
      <c r="C76" s="182"/>
      <c r="D76" s="182"/>
      <c r="E76" s="182"/>
      <c r="F76" s="182"/>
      <c r="G76" s="183"/>
    </row>
    <row r="77" spans="2:7">
      <c r="B77" s="86"/>
      <c r="C77" s="86">
        <v>2008</v>
      </c>
      <c r="D77" s="86">
        <v>2009</v>
      </c>
      <c r="E77" s="86">
        <v>2010</v>
      </c>
      <c r="F77" s="86" t="s">
        <v>139</v>
      </c>
      <c r="G77" s="86" t="s">
        <v>140</v>
      </c>
    </row>
    <row r="78" spans="2:7">
      <c r="B78" s="184" t="s">
        <v>48</v>
      </c>
      <c r="C78" s="79">
        <f>GETPIVOTDATA("dato",'[1]graficas evolución mensual'!$A$90,"mes",1,"año",2008)</f>
        <v>6238</v>
      </c>
      <c r="D78" s="79">
        <f>GETPIVOTDATA("dato",'[1]graficas evolución mensual'!$A$90,"mes",1,"año",2009)</f>
        <v>6032</v>
      </c>
      <c r="E78" s="79">
        <f>GETPIVOTDATA("dato",'[1]graficas evolución mensual'!$A$90,"mes",1,"año",2010)</f>
        <v>4660</v>
      </c>
      <c r="F78" s="185">
        <f>D78/C78-1</f>
        <v>-3.3023404937480016E-2</v>
      </c>
      <c r="G78" s="185">
        <f>E78/D78-1</f>
        <v>-0.22745358090185674</v>
      </c>
    </row>
    <row r="79" spans="2:7">
      <c r="B79" s="186" t="s">
        <v>47</v>
      </c>
      <c r="C79" s="52">
        <f>GETPIVOTDATA("dato",'[1]graficas evolución mensual'!$A$90,"mes",2,"año",2008)</f>
        <v>6746</v>
      </c>
      <c r="D79" s="52">
        <f>GETPIVOTDATA("dato",'[1]graficas evolución mensual'!$A$90,"mes",2,"año",2009)</f>
        <v>6212</v>
      </c>
      <c r="E79" s="52">
        <f>GETPIVOTDATA("dato",'[1]graficas evolución mensual'!$A$90,"mes",2,"año",2010)</f>
        <v>4613</v>
      </c>
      <c r="F79" s="187">
        <f t="shared" ref="F79:G90" si="4">D79/C79-1</f>
        <v>-7.915801956715085E-2</v>
      </c>
      <c r="G79" s="187">
        <f t="shared" si="4"/>
        <v>-0.25740502253702513</v>
      </c>
    </row>
    <row r="80" spans="2:7">
      <c r="B80" s="186" t="s">
        <v>46</v>
      </c>
      <c r="C80" s="52">
        <f>GETPIVOTDATA("dato",'[1]graficas evolución mensual'!$A$90,"mes",3,"año",2008)</f>
        <v>8195</v>
      </c>
      <c r="D80" s="52">
        <f>GETPIVOTDATA("dato",'[1]graficas evolución mensual'!$A$90,"mes",3,"año",2009)</f>
        <v>6400</v>
      </c>
      <c r="E80" s="52">
        <f>GETPIVOTDATA("dato",'[1]graficas evolución mensual'!$A$90,"mes",3,"año",2010)</f>
        <v>4525</v>
      </c>
      <c r="F80" s="187">
        <f t="shared" si="4"/>
        <v>-0.21903599755948744</v>
      </c>
      <c r="G80" s="187">
        <f t="shared" si="4"/>
        <v>-0.29296875</v>
      </c>
    </row>
    <row r="81" spans="2:7">
      <c r="B81" s="186" t="s">
        <v>45</v>
      </c>
      <c r="C81" s="52">
        <f>GETPIVOTDATA("dato",'[1]graficas evolución mensual'!$A$90,"mes",4,"año",2008)</f>
        <v>2711</v>
      </c>
      <c r="D81" s="52">
        <f>GETPIVOTDATA("dato",'[1]graficas evolución mensual'!$A$90,"mes",4,"año",2009)</f>
        <v>2309</v>
      </c>
      <c r="E81" s="52">
        <f>GETPIVOTDATA("dato",'[1]graficas evolución mensual'!$A$90,"mes",4,"año",2010)</f>
        <v>2032</v>
      </c>
      <c r="F81" s="187">
        <f t="shared" si="4"/>
        <v>-0.14828476576908889</v>
      </c>
      <c r="G81" s="187">
        <f t="shared" si="4"/>
        <v>-0.11996535296665223</v>
      </c>
    </row>
    <row r="82" spans="2:7">
      <c r="B82" s="186" t="s">
        <v>44</v>
      </c>
      <c r="C82" s="52">
        <f>GETPIVOTDATA("dato",'[1]graficas evolución mensual'!$A$90,"mes",5,"año",2008)</f>
        <v>754</v>
      </c>
      <c r="D82" s="52">
        <f>GETPIVOTDATA("dato",'[1]graficas evolución mensual'!$A$90,"mes",5,"año",2009)</f>
        <v>841</v>
      </c>
      <c r="E82" s="52">
        <f>GETPIVOTDATA("dato",'[1]graficas evolución mensual'!$A$90,"mes",5,"año",2010)</f>
        <v>553</v>
      </c>
      <c r="F82" s="187">
        <f t="shared" si="4"/>
        <v>0.11538461538461542</v>
      </c>
      <c r="G82" s="187">
        <f t="shared" si="4"/>
        <v>-0.34244946492271111</v>
      </c>
    </row>
    <row r="83" spans="2:7">
      <c r="B83" s="186" t="s">
        <v>43</v>
      </c>
      <c r="C83" s="52">
        <f>GETPIVOTDATA("dato",'[1]graficas evolución mensual'!$A$90,"mes",6,"año",2008)</f>
        <v>927</v>
      </c>
      <c r="D83" s="52">
        <f>GETPIVOTDATA("dato",'[1]graficas evolución mensual'!$A$90,"mes",6,"año",2009)</f>
        <v>988</v>
      </c>
      <c r="E83" s="52">
        <f>GETPIVOTDATA("dato",'[1]graficas evolución mensual'!$A$90,"mes",6,"año",2010)</f>
        <v>700</v>
      </c>
      <c r="F83" s="187">
        <f t="shared" si="4"/>
        <v>6.580366774541524E-2</v>
      </c>
      <c r="G83" s="187">
        <f t="shared" si="4"/>
        <v>-0.291497975708502</v>
      </c>
    </row>
    <row r="84" spans="2:7">
      <c r="B84" s="186" t="s">
        <v>42</v>
      </c>
      <c r="C84" s="52">
        <f>GETPIVOTDATA("dato",'[1]graficas evolución mensual'!$A$90,"mes",7,"año",2008)</f>
        <v>1384</v>
      </c>
      <c r="D84" s="52">
        <f>GETPIVOTDATA("dato",'[1]graficas evolución mensual'!$A$90,"mes",7,"año",2009)</f>
        <v>915</v>
      </c>
      <c r="E84" s="52">
        <f>GETPIVOTDATA("dato",'[1]graficas evolución mensual'!$A$90,"mes",7,"año",2010)</f>
        <v>720</v>
      </c>
      <c r="F84" s="187">
        <f t="shared" si="4"/>
        <v>-0.33887283236994215</v>
      </c>
      <c r="G84" s="187">
        <f t="shared" si="4"/>
        <v>-0.21311475409836067</v>
      </c>
    </row>
    <row r="85" spans="2:7">
      <c r="B85" s="186" t="s">
        <v>41</v>
      </c>
      <c r="C85" s="52">
        <f>GETPIVOTDATA("dato",'[1]graficas evolución mensual'!$A$90,"mes",8,"año",2008)</f>
        <v>987</v>
      </c>
      <c r="D85" s="52">
        <f>GETPIVOTDATA("dato",'[1]graficas evolución mensual'!$A$90,"mes",8,"año",2009)</f>
        <v>680</v>
      </c>
      <c r="E85" s="52">
        <f>GETPIVOTDATA("dato",'[1]graficas evolución mensual'!$A$90,"mes",8,"año",2010)</f>
        <v>0</v>
      </c>
      <c r="F85" s="187">
        <f t="shared" si="4"/>
        <v>-0.31104356636271535</v>
      </c>
      <c r="G85" s="187"/>
    </row>
    <row r="86" spans="2:7">
      <c r="B86" s="186" t="s">
        <v>40</v>
      </c>
      <c r="C86" s="52">
        <f>GETPIVOTDATA("dato",'[1]graficas evolución mensual'!$A$90,"mes",9,"año",2008)</f>
        <v>1112</v>
      </c>
      <c r="D86" s="52">
        <f>GETPIVOTDATA("dato",'[1]graficas evolución mensual'!$A$90,"mes",9,"año",2009)</f>
        <v>1033</v>
      </c>
      <c r="E86" s="52">
        <f>GETPIVOTDATA("dato",'[1]graficas evolución mensual'!$A$90,"mes",9,"año",2010)</f>
        <v>0</v>
      </c>
      <c r="F86" s="187">
        <f t="shared" si="4"/>
        <v>-7.1043165467625902E-2</v>
      </c>
      <c r="G86" s="187"/>
    </row>
    <row r="87" spans="2:7">
      <c r="B87" s="186" t="s">
        <v>39</v>
      </c>
      <c r="C87" s="52">
        <f>GETPIVOTDATA("dato",'[1]graficas evolución mensual'!$A$90,"mes",10,"año",2008)</f>
        <v>3414</v>
      </c>
      <c r="D87" s="52">
        <f>GETPIVOTDATA("dato",'[1]graficas evolución mensual'!$A$90,"mes",10,"año",2009)</f>
        <v>2250</v>
      </c>
      <c r="E87" s="52">
        <f>GETPIVOTDATA("dato",'[1]graficas evolución mensual'!$A$90,"mes",10,"año",2010)</f>
        <v>0</v>
      </c>
      <c r="F87" s="187">
        <f t="shared" si="4"/>
        <v>-0.34094903339191562</v>
      </c>
      <c r="G87" s="187"/>
    </row>
    <row r="88" spans="2:7">
      <c r="B88" s="186" t="s">
        <v>38</v>
      </c>
      <c r="C88" s="52">
        <f>GETPIVOTDATA("dato",'[1]graficas evolución mensual'!$A$90,"mes",11,"año",2008)</f>
        <v>6719</v>
      </c>
      <c r="D88" s="52">
        <f>GETPIVOTDATA("dato",'[1]graficas evolución mensual'!$A$90,"mes",11,"año",2009)</f>
        <v>3635</v>
      </c>
      <c r="E88" s="52">
        <f>GETPIVOTDATA("dato",'[1]graficas evolución mensual'!$A$90,"mes",11,"año",2010)</f>
        <v>0</v>
      </c>
      <c r="F88" s="187">
        <f t="shared" si="4"/>
        <v>-0.45899687453490101</v>
      </c>
      <c r="G88" s="187"/>
    </row>
    <row r="89" spans="2:7">
      <c r="B89" s="186" t="s">
        <v>37</v>
      </c>
      <c r="C89" s="52">
        <f>GETPIVOTDATA("dato",'[1]graficas evolución mensual'!$A$90,"mes",12,"año",2008)</f>
        <v>5183</v>
      </c>
      <c r="D89" s="52">
        <f>GETPIVOTDATA("dato",'[1]graficas evolución mensual'!$A$90,"mes",12,"año",2009)</f>
        <v>3202</v>
      </c>
      <c r="E89" s="52">
        <f>GETPIVOTDATA("dato",'[1]graficas evolución mensual'!$A$90,"mes",12,"año",2010)</f>
        <v>0</v>
      </c>
      <c r="F89" s="187">
        <f t="shared" si="4"/>
        <v>-0.38221107466718118</v>
      </c>
      <c r="G89" s="187"/>
    </row>
    <row r="90" spans="2:7">
      <c r="B90" s="188" t="s">
        <v>93</v>
      </c>
      <c r="C90" s="82">
        <f>SUM(C78:C89)</f>
        <v>44370</v>
      </c>
      <c r="D90" s="82">
        <f>SUM(D78:D89)</f>
        <v>34497</v>
      </c>
      <c r="E90" s="82">
        <f>SUM(E78:E89)</f>
        <v>17803</v>
      </c>
      <c r="F90" s="189">
        <f t="shared" si="4"/>
        <v>-0.22251521298174437</v>
      </c>
      <c r="G90" s="189"/>
    </row>
    <row r="91" spans="2:7" ht="24.75" customHeight="1">
      <c r="B91" s="190" t="s">
        <v>141</v>
      </c>
      <c r="C91" s="191"/>
      <c r="D91" s="191"/>
      <c r="E91" s="191"/>
      <c r="F91" s="191"/>
      <c r="G91" s="192"/>
    </row>
    <row r="92" spans="2:7" ht="6" customHeight="1"/>
    <row r="93" spans="2:7" ht="7.5" customHeight="1"/>
    <row r="94" spans="2:7" ht="45" customHeight="1">
      <c r="B94" s="181" t="s">
        <v>146</v>
      </c>
      <c r="C94" s="182"/>
      <c r="D94" s="182"/>
      <c r="E94" s="182"/>
      <c r="F94" s="182"/>
      <c r="G94" s="183"/>
    </row>
    <row r="95" spans="2:7">
      <c r="B95" s="86"/>
      <c r="C95" s="86">
        <v>2008</v>
      </c>
      <c r="D95" s="86">
        <v>2009</v>
      </c>
      <c r="E95" s="86">
        <v>2010</v>
      </c>
      <c r="F95" s="86" t="s">
        <v>139</v>
      </c>
      <c r="G95" s="86" t="s">
        <v>140</v>
      </c>
    </row>
    <row r="96" spans="2:7">
      <c r="B96" s="184" t="s">
        <v>48</v>
      </c>
      <c r="C96" s="79">
        <f>GETPIVOTDATA("dato",'[1]graficas evolución mensual'!$A$111,"mes",1,"año",2008)</f>
        <v>3257</v>
      </c>
      <c r="D96" s="79">
        <f>GETPIVOTDATA("dato",'[1]graficas evolución mensual'!$A$111,"mes",1,"año",2009)</f>
        <v>3203</v>
      </c>
      <c r="E96" s="79">
        <f>GETPIVOTDATA("dato",'[1]graficas evolución mensual'!$A$111,"mes",1,"año",2010)</f>
        <v>3556</v>
      </c>
      <c r="F96" s="185">
        <f>D96/C96-1</f>
        <v>-1.6579674547129275E-2</v>
      </c>
      <c r="G96" s="185">
        <f>E96/D96-1</f>
        <v>0.1102091788947861</v>
      </c>
    </row>
    <row r="97" spans="2:7">
      <c r="B97" s="186" t="s">
        <v>47</v>
      </c>
      <c r="C97" s="52">
        <f>GETPIVOTDATA("dato",'[1]graficas evolución mensual'!$A$111,"mes",2,"año",2008)</f>
        <v>3800</v>
      </c>
      <c r="D97" s="52">
        <f>GETPIVOTDATA("dato",'[1]graficas evolución mensual'!$A$111,"mes",2,"año",2009)</f>
        <v>3313</v>
      </c>
      <c r="E97" s="52">
        <f>GETPIVOTDATA("dato",'[1]graficas evolución mensual'!$A$111,"mes",2,"año",2010)</f>
        <v>3260</v>
      </c>
      <c r="F97" s="187">
        <f t="shared" ref="F97:G108" si="5">D97/C97-1</f>
        <v>-0.12815789473684214</v>
      </c>
      <c r="G97" s="187">
        <f t="shared" si="5"/>
        <v>-1.599758527014794E-2</v>
      </c>
    </row>
    <row r="98" spans="2:7">
      <c r="B98" s="186" t="s">
        <v>46</v>
      </c>
      <c r="C98" s="52">
        <f>GETPIVOTDATA("dato",'[1]graficas evolución mensual'!$A$111,"mes",3,"año",2008)</f>
        <v>3847</v>
      </c>
      <c r="D98" s="52">
        <f>GETPIVOTDATA("dato",'[1]graficas evolución mensual'!$A$111,"mes",3,"año",2009)</f>
        <v>3631</v>
      </c>
      <c r="E98" s="52">
        <f>GETPIVOTDATA("dato",'[1]graficas evolución mensual'!$A$111,"mes",3,"año",2010)</f>
        <v>3844</v>
      </c>
      <c r="F98" s="187">
        <f t="shared" si="5"/>
        <v>-5.6147647517546195E-2</v>
      </c>
      <c r="G98" s="187">
        <f t="shared" si="5"/>
        <v>5.8661525750481891E-2</v>
      </c>
    </row>
    <row r="99" spans="2:7">
      <c r="B99" s="186" t="s">
        <v>45</v>
      </c>
      <c r="C99" s="52">
        <f>GETPIVOTDATA("dato",'[1]graficas evolución mensual'!$A$111,"mes",4,"año",2008)</f>
        <v>1094</v>
      </c>
      <c r="D99" s="52">
        <f>GETPIVOTDATA("dato",'[1]graficas evolución mensual'!$A$111,"mes",4,"año",2009)</f>
        <v>1586</v>
      </c>
      <c r="E99" s="52">
        <f>GETPIVOTDATA("dato",'[1]graficas evolución mensual'!$A$111,"mes",4,"año",2010)</f>
        <v>1328</v>
      </c>
      <c r="F99" s="187">
        <f t="shared" si="5"/>
        <v>0.44972577696526517</v>
      </c>
      <c r="G99" s="187">
        <f t="shared" si="5"/>
        <v>-0.16267339218158894</v>
      </c>
    </row>
    <row r="100" spans="2:7">
      <c r="B100" s="186" t="s">
        <v>44</v>
      </c>
      <c r="C100" s="52">
        <f>GETPIVOTDATA("dato",'[1]graficas evolución mensual'!$A$111,"mes",5,"año",2008)</f>
        <v>252</v>
      </c>
      <c r="D100" s="52">
        <f>GETPIVOTDATA("dato",'[1]graficas evolución mensual'!$A$111,"mes",5,"año",2009)</f>
        <v>158</v>
      </c>
      <c r="E100" s="52">
        <f>GETPIVOTDATA("dato",'[1]graficas evolución mensual'!$A$111,"mes",5,"año",2010)</f>
        <v>66</v>
      </c>
      <c r="F100" s="187">
        <f t="shared" si="5"/>
        <v>-0.37301587301587302</v>
      </c>
      <c r="G100" s="187">
        <f t="shared" si="5"/>
        <v>-0.58227848101265822</v>
      </c>
    </row>
    <row r="101" spans="2:7">
      <c r="B101" s="186" t="s">
        <v>43</v>
      </c>
      <c r="C101" s="52">
        <f>GETPIVOTDATA("dato",'[1]graficas evolución mensual'!$A$111,"mes",6,"año",2008)</f>
        <v>24</v>
      </c>
      <c r="D101" s="52">
        <f>GETPIVOTDATA("dato",'[1]graficas evolución mensual'!$A$111,"mes",6,"año",2009)</f>
        <v>57</v>
      </c>
      <c r="E101" s="52">
        <f>GETPIVOTDATA("dato",'[1]graficas evolución mensual'!$A$111,"mes",6,"año",2010)</f>
        <v>103</v>
      </c>
      <c r="F101" s="187">
        <f t="shared" si="5"/>
        <v>1.375</v>
      </c>
      <c r="G101" s="187">
        <f t="shared" si="5"/>
        <v>0.80701754385964919</v>
      </c>
    </row>
    <row r="102" spans="2:7">
      <c r="B102" s="186" t="s">
        <v>42</v>
      </c>
      <c r="C102" s="52">
        <f>GETPIVOTDATA("dato",'[1]graficas evolución mensual'!$A$111,"mes",7,"año",2008)</f>
        <v>38</v>
      </c>
      <c r="D102" s="52">
        <f>GETPIVOTDATA("dato",'[1]graficas evolución mensual'!$A$111,"mes",7,"año",2009)</f>
        <v>202</v>
      </c>
      <c r="E102" s="52">
        <f>GETPIVOTDATA("dato",'[1]graficas evolución mensual'!$A$111,"mes",7,"año",2010)</f>
        <v>121</v>
      </c>
      <c r="F102" s="187">
        <f t="shared" si="5"/>
        <v>4.3157894736842106</v>
      </c>
      <c r="G102" s="187">
        <f t="shared" si="5"/>
        <v>-0.40099009900990101</v>
      </c>
    </row>
    <row r="103" spans="2:7">
      <c r="B103" s="186" t="s">
        <v>41</v>
      </c>
      <c r="C103" s="52">
        <f>GETPIVOTDATA("dato",'[1]graficas evolución mensual'!$A$111,"mes",8,"año",2008)</f>
        <v>38</v>
      </c>
      <c r="D103" s="52">
        <f>GETPIVOTDATA("dato",'[1]graficas evolución mensual'!$A$111,"mes",8,"año",2009)</f>
        <v>26</v>
      </c>
      <c r="E103" s="52">
        <f>GETPIVOTDATA("dato",'[1]graficas evolución mensual'!$A$111,"mes",8,"año",2010)</f>
        <v>0</v>
      </c>
      <c r="F103" s="187">
        <f t="shared" si="5"/>
        <v>-0.31578947368421051</v>
      </c>
      <c r="G103" s="187"/>
    </row>
    <row r="104" spans="2:7">
      <c r="B104" s="186" t="s">
        <v>40</v>
      </c>
      <c r="C104" s="52">
        <f>GETPIVOTDATA("dato",'[1]graficas evolución mensual'!$A$111,"mes",9,"año",2008)</f>
        <v>29</v>
      </c>
      <c r="D104" s="52">
        <f>GETPIVOTDATA("dato",'[1]graficas evolución mensual'!$A$111,"mes",9,"año",2009)</f>
        <v>157</v>
      </c>
      <c r="E104" s="52">
        <f>GETPIVOTDATA("dato",'[1]graficas evolución mensual'!$A$111,"mes",9,"año",2010)</f>
        <v>0</v>
      </c>
      <c r="F104" s="187">
        <f t="shared" si="5"/>
        <v>4.4137931034482758</v>
      </c>
      <c r="G104" s="187"/>
    </row>
    <row r="105" spans="2:7">
      <c r="B105" s="186" t="s">
        <v>39</v>
      </c>
      <c r="C105" s="52">
        <f>GETPIVOTDATA("dato",'[1]graficas evolución mensual'!$A$111,"mes",10,"año",2008)</f>
        <v>2052</v>
      </c>
      <c r="D105" s="52">
        <f>GETPIVOTDATA("dato",'[1]graficas evolución mensual'!$A$111,"mes",10,"año",2009)</f>
        <v>2442</v>
      </c>
      <c r="E105" s="52">
        <f>GETPIVOTDATA("dato",'[1]graficas evolución mensual'!$A$111,"mes",10,"año",2010)</f>
        <v>0</v>
      </c>
      <c r="F105" s="187">
        <f t="shared" si="5"/>
        <v>0.19005847953216382</v>
      </c>
      <c r="G105" s="187"/>
    </row>
    <row r="106" spans="2:7">
      <c r="B106" s="186" t="s">
        <v>38</v>
      </c>
      <c r="C106" s="52">
        <f>GETPIVOTDATA("dato",'[1]graficas evolución mensual'!$A$111,"mes",11,"año",2008)</f>
        <v>2582</v>
      </c>
      <c r="D106" s="52">
        <f>GETPIVOTDATA("dato",'[1]graficas evolución mensual'!$A$111,"mes",11,"año",2009)</f>
        <v>4145</v>
      </c>
      <c r="E106" s="52">
        <f>GETPIVOTDATA("dato",'[1]graficas evolución mensual'!$A$111,"mes",11,"año",2010)</f>
        <v>0</v>
      </c>
      <c r="F106" s="187">
        <f t="shared" si="5"/>
        <v>0.60534469403563129</v>
      </c>
      <c r="G106" s="187"/>
    </row>
    <row r="107" spans="2:7">
      <c r="B107" s="186" t="s">
        <v>37</v>
      </c>
      <c r="C107" s="52">
        <f>GETPIVOTDATA("dato",'[1]graficas evolución mensual'!$A$111,"mes",12,"año",2008)</f>
        <v>3537</v>
      </c>
      <c r="D107" s="52">
        <f>GETPIVOTDATA("dato",'[1]graficas evolución mensual'!$A$111,"mes",12,"año",2009)</f>
        <v>3519</v>
      </c>
      <c r="E107" s="52">
        <f>GETPIVOTDATA("dato",'[1]graficas evolución mensual'!$A$111,"mes",12,"año",2010)</f>
        <v>0</v>
      </c>
      <c r="F107" s="187">
        <f t="shared" si="5"/>
        <v>-5.0890585241730735E-3</v>
      </c>
      <c r="G107" s="187"/>
    </row>
    <row r="108" spans="2:7">
      <c r="B108" s="188" t="s">
        <v>93</v>
      </c>
      <c r="C108" s="82">
        <f>SUM(C96:C107)</f>
        <v>20550</v>
      </c>
      <c r="D108" s="82">
        <f>SUM(D96:D107)</f>
        <v>22439</v>
      </c>
      <c r="E108" s="82">
        <f>SUM(E96:E107)</f>
        <v>12278</v>
      </c>
      <c r="F108" s="189">
        <f t="shared" si="5"/>
        <v>9.1922141119221479E-2</v>
      </c>
      <c r="G108" s="189"/>
    </row>
    <row r="109" spans="2:7" ht="22.5" customHeight="1">
      <c r="B109" s="190" t="s">
        <v>141</v>
      </c>
      <c r="C109" s="191"/>
      <c r="D109" s="191"/>
      <c r="E109" s="191"/>
      <c r="F109" s="191"/>
      <c r="G109" s="192"/>
    </row>
    <row r="110" spans="2:7" ht="7.5" customHeight="1"/>
    <row r="111" spans="2:7" ht="9" customHeight="1"/>
    <row r="112" spans="2:7" ht="44.25" customHeight="1">
      <c r="B112" s="181" t="s">
        <v>147</v>
      </c>
      <c r="C112" s="182"/>
      <c r="D112" s="182"/>
      <c r="E112" s="182"/>
      <c r="F112" s="182"/>
      <c r="G112" s="183"/>
    </row>
    <row r="113" spans="2:7">
      <c r="B113" s="86"/>
      <c r="C113" s="86">
        <v>2008</v>
      </c>
      <c r="D113" s="86">
        <v>2009</v>
      </c>
      <c r="E113" s="86">
        <v>2010</v>
      </c>
      <c r="F113" s="86" t="s">
        <v>139</v>
      </c>
      <c r="G113" s="86" t="s">
        <v>140</v>
      </c>
    </row>
    <row r="114" spans="2:7">
      <c r="B114" s="184" t="s">
        <v>48</v>
      </c>
      <c r="C114" s="79">
        <f>GETPIVOTDATA("dato",'[1]graficas evolución mensual'!$A$132,"mes",1,"año",2008)</f>
        <v>3278</v>
      </c>
      <c r="D114" s="79">
        <f>GETPIVOTDATA("dato",'[1]graficas evolución mensual'!$A$132,"mes",1,"año",2009)</f>
        <v>3080</v>
      </c>
      <c r="E114" s="79">
        <f>GETPIVOTDATA("dato",'[1]graficas evolución mensual'!$A$132,"mes",1,"año",2010)</f>
        <v>3035</v>
      </c>
      <c r="F114" s="185">
        <f>D114/C114-1</f>
        <v>-6.0402684563758413E-2</v>
      </c>
      <c r="G114" s="185">
        <f>E114/D114-1</f>
        <v>-1.4610389610389629E-2</v>
      </c>
    </row>
    <row r="115" spans="2:7">
      <c r="B115" s="186" t="s">
        <v>47</v>
      </c>
      <c r="C115" s="52">
        <f>GETPIVOTDATA("dato",'[1]graficas evolución mensual'!$A$132,"mes",2,"año",2008)</f>
        <v>3620</v>
      </c>
      <c r="D115" s="52">
        <f>GETPIVOTDATA("dato",'[1]graficas evolución mensual'!$A$132,"mes",2,"año",2009)</f>
        <v>3805</v>
      </c>
      <c r="E115" s="52">
        <f>GETPIVOTDATA("dato",'[1]graficas evolución mensual'!$A$132,"mes",2,"año",2010)</f>
        <v>2921</v>
      </c>
      <c r="F115" s="187">
        <f t="shared" ref="F115:G126" si="6">D115/C115-1</f>
        <v>5.1104972375690672E-2</v>
      </c>
      <c r="G115" s="187">
        <f t="shared" si="6"/>
        <v>-0.23232588699080159</v>
      </c>
    </row>
    <row r="116" spans="2:7">
      <c r="B116" s="186" t="s">
        <v>46</v>
      </c>
      <c r="C116" s="52">
        <f>GETPIVOTDATA("dato",'[1]graficas evolución mensual'!$A$132,"mes",3,"año",2008)</f>
        <v>4209</v>
      </c>
      <c r="D116" s="52">
        <f>GETPIVOTDATA("dato",'[1]graficas evolución mensual'!$A$132,"mes",3,"año",2009)</f>
        <v>4192</v>
      </c>
      <c r="E116" s="52">
        <f>GETPIVOTDATA("dato",'[1]graficas evolución mensual'!$A$132,"mes",3,"año",2010)</f>
        <v>2920</v>
      </c>
      <c r="F116" s="187">
        <f t="shared" si="6"/>
        <v>-4.0389641244951147E-3</v>
      </c>
      <c r="G116" s="187">
        <f t="shared" si="6"/>
        <v>-0.30343511450381677</v>
      </c>
    </row>
    <row r="117" spans="2:7">
      <c r="B117" s="186" t="s">
        <v>45</v>
      </c>
      <c r="C117" s="52">
        <f>GETPIVOTDATA("dato",'[1]graficas evolución mensual'!$A$132,"mes",4,"año",2008)</f>
        <v>1000</v>
      </c>
      <c r="D117" s="52">
        <f>GETPIVOTDATA("dato",'[1]graficas evolución mensual'!$A$132,"mes",4,"año",2009)</f>
        <v>1386</v>
      </c>
      <c r="E117" s="52">
        <f>GETPIVOTDATA("dato",'[1]graficas evolución mensual'!$A$132,"mes",4,"año",2010)</f>
        <v>796</v>
      </c>
      <c r="F117" s="187">
        <f t="shared" si="6"/>
        <v>0.3859999999999999</v>
      </c>
      <c r="G117" s="187">
        <f t="shared" si="6"/>
        <v>-0.42568542568542567</v>
      </c>
    </row>
    <row r="118" spans="2:7">
      <c r="B118" s="186" t="s">
        <v>44</v>
      </c>
      <c r="C118" s="52">
        <f>GETPIVOTDATA("dato",'[1]graficas evolución mensual'!$A$132,"mes",5,"año",2008)</f>
        <v>355</v>
      </c>
      <c r="D118" s="52">
        <f>GETPIVOTDATA("dato",'[1]graficas evolución mensual'!$A$132,"mes",5,"año",2009)</f>
        <v>65</v>
      </c>
      <c r="E118" s="52">
        <f>GETPIVOTDATA("dato",'[1]graficas evolución mensual'!$A$132,"mes",5,"año",2010)</f>
        <v>550</v>
      </c>
      <c r="F118" s="187">
        <f t="shared" si="6"/>
        <v>-0.81690140845070425</v>
      </c>
      <c r="G118" s="187">
        <f t="shared" si="6"/>
        <v>7.4615384615384617</v>
      </c>
    </row>
    <row r="119" spans="2:7">
      <c r="B119" s="186" t="s">
        <v>43</v>
      </c>
      <c r="C119" s="52">
        <f>GETPIVOTDATA("dato",'[1]graficas evolución mensual'!$A$132,"mes",6,"año",2008)</f>
        <v>362</v>
      </c>
      <c r="D119" s="52">
        <f>GETPIVOTDATA("dato",'[1]graficas evolución mensual'!$A$132,"mes",6,"año",2009)</f>
        <v>409</v>
      </c>
      <c r="E119" s="52">
        <f>GETPIVOTDATA("dato",'[1]graficas evolución mensual'!$A$132,"mes",6,"año",2010)</f>
        <v>692</v>
      </c>
      <c r="F119" s="187">
        <f t="shared" si="6"/>
        <v>0.12983425414364635</v>
      </c>
      <c r="G119" s="187">
        <f t="shared" si="6"/>
        <v>0.69193154034229831</v>
      </c>
    </row>
    <row r="120" spans="2:7">
      <c r="B120" s="186" t="s">
        <v>42</v>
      </c>
      <c r="C120" s="52">
        <f>GETPIVOTDATA("dato",'[1]graficas evolución mensual'!$A$132,"mes",7,"año",2008)</f>
        <v>608</v>
      </c>
      <c r="D120" s="52">
        <f>GETPIVOTDATA("dato",'[1]graficas evolución mensual'!$A$132,"mes",7,"año",2009)</f>
        <v>736</v>
      </c>
      <c r="E120" s="52">
        <f>GETPIVOTDATA("dato",'[1]graficas evolución mensual'!$A$132,"mes",7,"año",2010)</f>
        <v>960</v>
      </c>
      <c r="F120" s="187">
        <f t="shared" si="6"/>
        <v>0.21052631578947367</v>
      </c>
      <c r="G120" s="187">
        <f t="shared" si="6"/>
        <v>0.30434782608695654</v>
      </c>
    </row>
    <row r="121" spans="2:7">
      <c r="B121" s="186" t="s">
        <v>41</v>
      </c>
      <c r="C121" s="52">
        <f>GETPIVOTDATA("dato",'[1]graficas evolución mensual'!$A$132,"mes",8,"año",2008)</f>
        <v>327</v>
      </c>
      <c r="D121" s="52">
        <f>GETPIVOTDATA("dato",'[1]graficas evolución mensual'!$A$132,"mes",8,"año",2009)</f>
        <v>187</v>
      </c>
      <c r="E121" s="52">
        <f>GETPIVOTDATA("dato",'[1]graficas evolución mensual'!$A$132,"mes",8,"año",2010)</f>
        <v>0</v>
      </c>
      <c r="F121" s="187">
        <f t="shared" si="6"/>
        <v>-0.4281345565749235</v>
      </c>
      <c r="G121" s="187"/>
    </row>
    <row r="122" spans="2:7">
      <c r="B122" s="186" t="s">
        <v>40</v>
      </c>
      <c r="C122" s="52">
        <f>GETPIVOTDATA("dato",'[1]graficas evolución mensual'!$A$132,"mes",9,"año",2008)</f>
        <v>667</v>
      </c>
      <c r="D122" s="52">
        <f>GETPIVOTDATA("dato",'[1]graficas evolución mensual'!$A$132,"mes",9,"año",2009)</f>
        <v>500</v>
      </c>
      <c r="E122" s="52">
        <f>GETPIVOTDATA("dato",'[1]graficas evolución mensual'!$A$132,"mes",9,"año",2010)</f>
        <v>0</v>
      </c>
      <c r="F122" s="187">
        <f t="shared" si="6"/>
        <v>-0.2503748125937032</v>
      </c>
      <c r="G122" s="187"/>
    </row>
    <row r="123" spans="2:7">
      <c r="B123" s="186" t="s">
        <v>39</v>
      </c>
      <c r="C123" s="52">
        <f>GETPIVOTDATA("dato",'[1]graficas evolución mensual'!$A$132,"mes",10,"año",2008)</f>
        <v>2685</v>
      </c>
      <c r="D123" s="52">
        <f>GETPIVOTDATA("dato",'[1]graficas evolución mensual'!$A$132,"mes",10,"año",2009)</f>
        <v>1605</v>
      </c>
      <c r="E123" s="52">
        <f>GETPIVOTDATA("dato",'[1]graficas evolución mensual'!$A$132,"mes",10,"año",2010)</f>
        <v>0</v>
      </c>
      <c r="F123" s="187">
        <f t="shared" si="6"/>
        <v>-0.4022346368715084</v>
      </c>
      <c r="G123" s="187"/>
    </row>
    <row r="124" spans="2:7">
      <c r="B124" s="186" t="s">
        <v>38</v>
      </c>
      <c r="C124" s="52">
        <f>GETPIVOTDATA("dato",'[1]graficas evolución mensual'!$A$132,"mes",11,"año",2008)</f>
        <v>4905</v>
      </c>
      <c r="D124" s="52">
        <f>GETPIVOTDATA("dato",'[1]graficas evolución mensual'!$A$132,"mes",11,"año",2009)</f>
        <v>4044</v>
      </c>
      <c r="E124" s="52">
        <f>GETPIVOTDATA("dato",'[1]graficas evolución mensual'!$A$132,"mes",11,"año",2010)</f>
        <v>0</v>
      </c>
      <c r="F124" s="187">
        <f t="shared" si="6"/>
        <v>-0.17553516819571868</v>
      </c>
      <c r="G124" s="187"/>
    </row>
    <row r="125" spans="2:7">
      <c r="B125" s="186" t="s">
        <v>37</v>
      </c>
      <c r="C125" s="52">
        <f>GETPIVOTDATA("dato",'[1]graficas evolución mensual'!$A$132,"mes",12,"año",2008)</f>
        <v>2871</v>
      </c>
      <c r="D125" s="52">
        <f>GETPIVOTDATA("dato",'[1]graficas evolución mensual'!$A$132,"mes",12,"año",2009)</f>
        <v>2556</v>
      </c>
      <c r="E125" s="52">
        <f>GETPIVOTDATA("dato",'[1]graficas evolución mensual'!$A$132,"mes",12,"año",2010)</f>
        <v>0</v>
      </c>
      <c r="F125" s="187">
        <f t="shared" si="6"/>
        <v>-0.10971786833855801</v>
      </c>
      <c r="G125" s="187"/>
    </row>
    <row r="126" spans="2:7">
      <c r="B126" s="188" t="s">
        <v>93</v>
      </c>
      <c r="C126" s="82">
        <f>SUM(C114:C125)</f>
        <v>24887</v>
      </c>
      <c r="D126" s="82">
        <f>SUM(D114:D125)</f>
        <v>22565</v>
      </c>
      <c r="E126" s="82">
        <f>SUM(E114:E125)</f>
        <v>11874</v>
      </c>
      <c r="F126" s="189">
        <f t="shared" si="6"/>
        <v>-9.3301723791537783E-2</v>
      </c>
      <c r="G126" s="189"/>
    </row>
    <row r="127" spans="2:7" ht="22.5" customHeight="1">
      <c r="B127" s="190" t="s">
        <v>141</v>
      </c>
      <c r="C127" s="191"/>
      <c r="D127" s="191"/>
      <c r="E127" s="191"/>
      <c r="F127" s="191"/>
      <c r="G127" s="192"/>
    </row>
    <row r="128" spans="2:7" ht="7.5" customHeight="1"/>
    <row r="129" spans="2:7" ht="7.5" customHeight="1"/>
    <row r="130" spans="2:7" ht="45" customHeight="1">
      <c r="B130" s="181" t="s">
        <v>148</v>
      </c>
      <c r="C130" s="182"/>
      <c r="D130" s="182"/>
      <c r="E130" s="182"/>
      <c r="F130" s="182"/>
      <c r="G130" s="183"/>
    </row>
    <row r="131" spans="2:7">
      <c r="B131" s="86"/>
      <c r="C131" s="86">
        <v>2008</v>
      </c>
      <c r="D131" s="86">
        <v>2009</v>
      </c>
      <c r="E131" s="86">
        <v>2010</v>
      </c>
      <c r="F131" s="86" t="s">
        <v>139</v>
      </c>
      <c r="G131" s="86" t="s">
        <v>140</v>
      </c>
    </row>
    <row r="132" spans="2:7">
      <c r="B132" s="184" t="s">
        <v>48</v>
      </c>
      <c r="C132" s="79">
        <f>GETPIVOTDATA("dato",'[1]graficas evolución mensual'!$A$153,"mes",1,"año",2008)</f>
        <v>5160</v>
      </c>
      <c r="D132" s="79">
        <f>GETPIVOTDATA("dato",'[1]graficas evolución mensual'!$A$153,"mes",1,"año",2009)</f>
        <v>6139</v>
      </c>
      <c r="E132" s="79">
        <f>GETPIVOTDATA("dato",'[1]graficas evolución mensual'!$A$153,"mes",1,"año",2010)</f>
        <v>6000</v>
      </c>
      <c r="F132" s="185">
        <f>D132/C132-1</f>
        <v>0.18972868217054262</v>
      </c>
      <c r="G132" s="185">
        <f>E132/D132-1</f>
        <v>-2.2642124124450214E-2</v>
      </c>
    </row>
    <row r="133" spans="2:7">
      <c r="B133" s="186" t="s">
        <v>47</v>
      </c>
      <c r="C133" s="52">
        <f>GETPIVOTDATA("dato",'[1]graficas evolución mensual'!$A$153,"mes",2,"año",2008)</f>
        <v>4903</v>
      </c>
      <c r="D133" s="52">
        <f>GETPIVOTDATA("dato",'[1]graficas evolución mensual'!$A$153,"mes",2,"año",2009)</f>
        <v>5776</v>
      </c>
      <c r="E133" s="52">
        <f>GETPIVOTDATA("dato",'[1]graficas evolución mensual'!$A$153,"mes",2,"año",2010)</f>
        <v>4567</v>
      </c>
      <c r="F133" s="187">
        <f t="shared" ref="F133:G144" si="7">D133/C133-1</f>
        <v>0.17805425249847029</v>
      </c>
      <c r="G133" s="187">
        <f t="shared" si="7"/>
        <v>-0.20931440443213301</v>
      </c>
    </row>
    <row r="134" spans="2:7">
      <c r="B134" s="186" t="s">
        <v>46</v>
      </c>
      <c r="C134" s="52">
        <f>GETPIVOTDATA("dato",'[1]graficas evolución mensual'!$A$153,"mes",3,"año",2008)</f>
        <v>6459</v>
      </c>
      <c r="D134" s="52">
        <f>GETPIVOTDATA("dato",'[1]graficas evolución mensual'!$A$153,"mes",3,"año",2009)</f>
        <v>6455</v>
      </c>
      <c r="E134" s="52">
        <f>GETPIVOTDATA("dato",'[1]graficas evolución mensual'!$A$153,"mes",3,"año",2010)</f>
        <v>5005</v>
      </c>
      <c r="F134" s="187">
        <f t="shared" si="7"/>
        <v>-6.1929091190582319E-4</v>
      </c>
      <c r="G134" s="187">
        <f t="shared" si="7"/>
        <v>-0.22463206816421377</v>
      </c>
    </row>
    <row r="135" spans="2:7">
      <c r="B135" s="186" t="s">
        <v>45</v>
      </c>
      <c r="C135" s="52">
        <f>GETPIVOTDATA("dato",'[1]graficas evolución mensual'!$A$153,"mes",4,"año",2008)</f>
        <v>2575</v>
      </c>
      <c r="D135" s="52">
        <f>GETPIVOTDATA("dato",'[1]graficas evolución mensual'!$A$153,"mes",4,"año",2009)</f>
        <v>3337</v>
      </c>
      <c r="E135" s="52">
        <f>GETPIVOTDATA("dato",'[1]graficas evolución mensual'!$A$153,"mes",4,"año",2010)</f>
        <v>2920</v>
      </c>
      <c r="F135" s="187">
        <f t="shared" si="7"/>
        <v>0.29592233009708746</v>
      </c>
      <c r="G135" s="187">
        <f t="shared" si="7"/>
        <v>-0.12496254120467487</v>
      </c>
    </row>
    <row r="136" spans="2:7">
      <c r="B136" s="186" t="s">
        <v>44</v>
      </c>
      <c r="C136" s="52">
        <f>GETPIVOTDATA("dato",'[1]graficas evolución mensual'!$A$153,"mes",5,"año",2008)</f>
        <v>276</v>
      </c>
      <c r="D136" s="52">
        <f>GETPIVOTDATA("dato",'[1]graficas evolución mensual'!$A$153,"mes",5,"año",2009)</f>
        <v>805</v>
      </c>
      <c r="E136" s="52">
        <f>GETPIVOTDATA("dato",'[1]graficas evolución mensual'!$A$153,"mes",5,"año",2010)</f>
        <v>760</v>
      </c>
      <c r="F136" s="187">
        <f t="shared" si="7"/>
        <v>1.9166666666666665</v>
      </c>
      <c r="G136" s="187">
        <f t="shared" si="7"/>
        <v>-5.5900621118012417E-2</v>
      </c>
    </row>
    <row r="137" spans="2:7">
      <c r="B137" s="186" t="s">
        <v>43</v>
      </c>
      <c r="C137" s="52">
        <f>GETPIVOTDATA("dato",'[1]graficas evolución mensual'!$A$153,"mes",6,"año",2008)</f>
        <v>416</v>
      </c>
      <c r="D137" s="52">
        <f>GETPIVOTDATA("dato",'[1]graficas evolución mensual'!$A$153,"mes",6,"año",2009)</f>
        <v>1046</v>
      </c>
      <c r="E137" s="52">
        <f>GETPIVOTDATA("dato",'[1]graficas evolución mensual'!$A$153,"mes",6,"año",2010)</f>
        <v>1113</v>
      </c>
      <c r="F137" s="187">
        <f t="shared" si="7"/>
        <v>1.5144230769230771</v>
      </c>
      <c r="G137" s="187">
        <f t="shared" si="7"/>
        <v>6.4053537284894935E-2</v>
      </c>
    </row>
    <row r="138" spans="2:7">
      <c r="B138" s="186" t="s">
        <v>42</v>
      </c>
      <c r="C138" s="52">
        <f>GETPIVOTDATA("dato",'[1]graficas evolución mensual'!$A$153,"mes",7,"año",2008)</f>
        <v>504</v>
      </c>
      <c r="D138" s="52">
        <f>GETPIVOTDATA("dato",'[1]graficas evolución mensual'!$A$153,"mes",7,"año",2009)</f>
        <v>1241</v>
      </c>
      <c r="E138" s="52">
        <f>GETPIVOTDATA("dato",'[1]graficas evolución mensual'!$A$153,"mes",7,"año",2010)</f>
        <v>1259</v>
      </c>
      <c r="F138" s="187">
        <f t="shared" si="7"/>
        <v>1.4623015873015874</v>
      </c>
      <c r="G138" s="187">
        <f t="shared" si="7"/>
        <v>1.4504431909750259E-2</v>
      </c>
    </row>
    <row r="139" spans="2:7">
      <c r="B139" s="186" t="s">
        <v>41</v>
      </c>
      <c r="C139" s="52">
        <f>GETPIVOTDATA("dato",'[1]graficas evolución mensual'!$A$153,"mes",8,"año",2008)</f>
        <v>378</v>
      </c>
      <c r="D139" s="52">
        <f>GETPIVOTDATA("dato",'[1]graficas evolución mensual'!$A$153,"mes",8,"año",2009)</f>
        <v>418</v>
      </c>
      <c r="E139" s="52">
        <f>GETPIVOTDATA("dato",'[1]graficas evolución mensual'!$A$153,"mes",8,"año",2010)</f>
        <v>0</v>
      </c>
      <c r="F139" s="187">
        <f t="shared" si="7"/>
        <v>0.10582010582010581</v>
      </c>
      <c r="G139" s="187"/>
    </row>
    <row r="140" spans="2:7">
      <c r="B140" s="186" t="s">
        <v>40</v>
      </c>
      <c r="C140" s="52">
        <f>GETPIVOTDATA("dato",'[1]graficas evolución mensual'!$A$153,"mes",9,"año",2008)</f>
        <v>657</v>
      </c>
      <c r="D140" s="52">
        <f>GETPIVOTDATA("dato",'[1]graficas evolución mensual'!$A$153,"mes",9,"año",2009)</f>
        <v>1514</v>
      </c>
      <c r="E140" s="52">
        <f>GETPIVOTDATA("dato",'[1]graficas evolución mensual'!$A$153,"mes",9,"año",2010)</f>
        <v>0</v>
      </c>
      <c r="F140" s="187">
        <f t="shared" si="7"/>
        <v>1.30441400304414</v>
      </c>
      <c r="G140" s="187"/>
    </row>
    <row r="141" spans="2:7">
      <c r="B141" s="186" t="s">
        <v>39</v>
      </c>
      <c r="C141" s="52">
        <f>GETPIVOTDATA("dato",'[1]graficas evolución mensual'!$A$153,"mes",10,"año",2008)</f>
        <v>3707</v>
      </c>
      <c r="D141" s="52">
        <f>GETPIVOTDATA("dato",'[1]graficas evolución mensual'!$A$153,"mes",10,"año",2009)</f>
        <v>4521</v>
      </c>
      <c r="E141" s="52">
        <f>GETPIVOTDATA("dato",'[1]graficas evolución mensual'!$A$153,"mes",10,"año",2010)</f>
        <v>0</v>
      </c>
      <c r="F141" s="187">
        <f t="shared" si="7"/>
        <v>0.21958456973293772</v>
      </c>
      <c r="G141" s="187"/>
    </row>
    <row r="142" spans="2:7">
      <c r="B142" s="186" t="s">
        <v>38</v>
      </c>
      <c r="C142" s="52">
        <f>GETPIVOTDATA("dato",'[1]graficas evolución mensual'!$A$153,"mes",11,"año",2008)</f>
        <v>6325</v>
      </c>
      <c r="D142" s="52">
        <f>GETPIVOTDATA("dato",'[1]graficas evolución mensual'!$A$153,"mes",11,"año",2009)</f>
        <v>5413</v>
      </c>
      <c r="E142" s="52">
        <f>GETPIVOTDATA("dato",'[1]graficas evolución mensual'!$A$153,"mes",11,"año",2010)</f>
        <v>0</v>
      </c>
      <c r="F142" s="187">
        <f t="shared" si="7"/>
        <v>-0.14418972332015811</v>
      </c>
      <c r="G142" s="187"/>
    </row>
    <row r="143" spans="2:7">
      <c r="B143" s="186" t="s">
        <v>37</v>
      </c>
      <c r="C143" s="52">
        <f>GETPIVOTDATA("dato",'[1]graficas evolución mensual'!$A$153,"mes",12,"año",2008)</f>
        <v>5358</v>
      </c>
      <c r="D143" s="52">
        <f>GETPIVOTDATA("dato",'[1]graficas evolución mensual'!$A$153,"mes",12,"año",2009)</f>
        <v>5340</v>
      </c>
      <c r="E143" s="52">
        <f>GETPIVOTDATA("dato",'[1]graficas evolución mensual'!$A$153,"mes",12,"año",2010)</f>
        <v>0</v>
      </c>
      <c r="F143" s="187">
        <f t="shared" si="7"/>
        <v>-3.3594624860022737E-3</v>
      </c>
      <c r="G143" s="187"/>
    </row>
    <row r="144" spans="2:7">
      <c r="B144" s="188" t="s">
        <v>93</v>
      </c>
      <c r="C144" s="82">
        <f>SUM(C132:C143)</f>
        <v>36718</v>
      </c>
      <c r="D144" s="82">
        <f>SUM(D132:D143)</f>
        <v>42005</v>
      </c>
      <c r="E144" s="82">
        <f>SUM(E132:E143)</f>
        <v>21624</v>
      </c>
      <c r="F144" s="189">
        <f t="shared" si="7"/>
        <v>0.14398932403725695</v>
      </c>
      <c r="G144" s="189"/>
    </row>
    <row r="145" spans="2:7" ht="22.5" customHeight="1">
      <c r="B145" s="190" t="s">
        <v>141</v>
      </c>
      <c r="C145" s="191"/>
      <c r="D145" s="191"/>
      <c r="E145" s="191"/>
      <c r="F145" s="191"/>
      <c r="G145" s="192"/>
    </row>
    <row r="146" spans="2:7" ht="8.25" customHeight="1"/>
    <row r="147" spans="2:7" ht="9.75" customHeight="1"/>
    <row r="148" spans="2:7" ht="45.75" customHeight="1">
      <c r="B148" s="181" t="s">
        <v>149</v>
      </c>
      <c r="C148" s="182"/>
      <c r="D148" s="182"/>
      <c r="E148" s="182"/>
      <c r="F148" s="182"/>
      <c r="G148" s="183"/>
    </row>
    <row r="149" spans="2:7">
      <c r="B149" s="86"/>
      <c r="C149" s="86">
        <v>2008</v>
      </c>
      <c r="D149" s="86">
        <v>2009</v>
      </c>
      <c r="E149" s="86">
        <v>2010</v>
      </c>
      <c r="F149" s="86" t="s">
        <v>139</v>
      </c>
      <c r="G149" s="86" t="s">
        <v>140</v>
      </c>
    </row>
    <row r="150" spans="2:7">
      <c r="B150" s="184" t="s">
        <v>48</v>
      </c>
      <c r="C150" s="79">
        <f>GETPIVOTDATA("dato",'[1]graficas evolución mensual'!$A$174,"mes",1,"año",2008)</f>
        <v>4141</v>
      </c>
      <c r="D150" s="79">
        <f>GETPIVOTDATA("dato",'[1]graficas evolución mensual'!$A$174,"mes",1,"año",2009)</f>
        <v>3641</v>
      </c>
      <c r="E150" s="79">
        <f>GETPIVOTDATA("dato",'[1]graficas evolución mensual'!$A$174,"mes",1,"año",2010)</f>
        <v>3761</v>
      </c>
      <c r="F150" s="185">
        <f>D150/C150-1</f>
        <v>-0.12074378169524269</v>
      </c>
      <c r="G150" s="185">
        <f>E150/D150-1</f>
        <v>3.2957978577313973E-2</v>
      </c>
    </row>
    <row r="151" spans="2:7">
      <c r="B151" s="186" t="s">
        <v>47</v>
      </c>
      <c r="C151" s="52">
        <f>GETPIVOTDATA("dato",'[1]graficas evolución mensual'!$A$174,"mes",2,"año",2008)</f>
        <v>5584</v>
      </c>
      <c r="D151" s="52">
        <f>GETPIVOTDATA("dato",'[1]graficas evolución mensual'!$A$174,"mes",2,"año",2009)</f>
        <v>4571</v>
      </c>
      <c r="E151" s="52">
        <f>GETPIVOTDATA("dato",'[1]graficas evolución mensual'!$A$174,"mes",2,"año",2010)</f>
        <v>4360</v>
      </c>
      <c r="F151" s="187">
        <f t="shared" ref="F151:G162" si="8">D151/C151-1</f>
        <v>-0.18141117478510027</v>
      </c>
      <c r="G151" s="187">
        <f t="shared" si="8"/>
        <v>-4.616057755414571E-2</v>
      </c>
    </row>
    <row r="152" spans="2:7">
      <c r="B152" s="186" t="s">
        <v>46</v>
      </c>
      <c r="C152" s="52">
        <f>GETPIVOTDATA("dato",'[1]graficas evolución mensual'!$A$174,"mes",3,"año",2008)</f>
        <v>4323</v>
      </c>
      <c r="D152" s="52">
        <f>GETPIVOTDATA("dato",'[1]graficas evolución mensual'!$A$174,"mes",3,"año",2009)</f>
        <v>3855</v>
      </c>
      <c r="E152" s="52">
        <f>GETPIVOTDATA("dato",'[1]graficas evolución mensual'!$A$174,"mes",3,"año",2010)</f>
        <v>3219</v>
      </c>
      <c r="F152" s="187">
        <f t="shared" si="8"/>
        <v>-0.10825815405968076</v>
      </c>
      <c r="G152" s="187">
        <f t="shared" si="8"/>
        <v>-0.16498054474708168</v>
      </c>
    </row>
    <row r="153" spans="2:7">
      <c r="B153" s="186" t="s">
        <v>45</v>
      </c>
      <c r="C153" s="52">
        <f>GETPIVOTDATA("dato",'[1]graficas evolución mensual'!$A$174,"mes",4,"año",2008)</f>
        <v>5181</v>
      </c>
      <c r="D153" s="52">
        <f>GETPIVOTDATA("dato",'[1]graficas evolución mensual'!$A$174,"mes",4,"año",2009)</f>
        <v>5416</v>
      </c>
      <c r="E153" s="52">
        <f>GETPIVOTDATA("dato",'[1]graficas evolución mensual'!$A$174,"mes",4,"año",2010)</f>
        <v>5152</v>
      </c>
      <c r="F153" s="187">
        <f t="shared" si="8"/>
        <v>4.5358038988612126E-2</v>
      </c>
      <c r="G153" s="187">
        <f t="shared" si="8"/>
        <v>-4.8744460856720795E-2</v>
      </c>
    </row>
    <row r="154" spans="2:7">
      <c r="B154" s="186" t="s">
        <v>44</v>
      </c>
      <c r="C154" s="52">
        <f>GETPIVOTDATA("dato",'[1]graficas evolución mensual'!$A$174,"mes",5,"año",2008)</f>
        <v>2857</v>
      </c>
      <c r="D154" s="52">
        <f>GETPIVOTDATA("dato",'[1]graficas evolución mensual'!$A$174,"mes",5,"año",2009)</f>
        <v>2479</v>
      </c>
      <c r="E154" s="52">
        <f>GETPIVOTDATA("dato",'[1]graficas evolución mensual'!$A$174,"mes",5,"año",2010)</f>
        <v>2337</v>
      </c>
      <c r="F154" s="187">
        <f t="shared" si="8"/>
        <v>-0.13230661533076649</v>
      </c>
      <c r="G154" s="187">
        <f t="shared" si="8"/>
        <v>-5.7281161758773735E-2</v>
      </c>
    </row>
    <row r="155" spans="2:7">
      <c r="B155" s="186" t="s">
        <v>43</v>
      </c>
      <c r="C155" s="52">
        <f>GETPIVOTDATA("dato",'[1]graficas evolución mensual'!$A$174,"mes",6,"año",2008)</f>
        <v>2330</v>
      </c>
      <c r="D155" s="52">
        <f>GETPIVOTDATA("dato",'[1]graficas evolución mensual'!$A$174,"mes",6,"año",2009)</f>
        <v>1838</v>
      </c>
      <c r="E155" s="52">
        <f>GETPIVOTDATA("dato",'[1]graficas evolución mensual'!$A$174,"mes",6,"año",2010)</f>
        <v>1911</v>
      </c>
      <c r="F155" s="187">
        <f t="shared" si="8"/>
        <v>-0.21115879828326178</v>
      </c>
      <c r="G155" s="187">
        <f t="shared" si="8"/>
        <v>3.9717083786724672E-2</v>
      </c>
    </row>
    <row r="156" spans="2:7">
      <c r="B156" s="186" t="s">
        <v>42</v>
      </c>
      <c r="C156" s="52">
        <f>GETPIVOTDATA("dato",'[1]graficas evolución mensual'!$A$174,"mes",7,"año",2008)</f>
        <v>3805</v>
      </c>
      <c r="D156" s="52">
        <f>GETPIVOTDATA("dato",'[1]graficas evolución mensual'!$A$174,"mes",7,"año",2009)</f>
        <v>2986</v>
      </c>
      <c r="E156" s="52">
        <f>GETPIVOTDATA("dato",'[1]graficas evolución mensual'!$A$174,"mes",7,"año",2010)</f>
        <v>3998</v>
      </c>
      <c r="F156" s="187">
        <f t="shared" si="8"/>
        <v>-0.21524310118265444</v>
      </c>
      <c r="G156" s="187">
        <f t="shared" si="8"/>
        <v>0.33891493636972547</v>
      </c>
    </row>
    <row r="157" spans="2:7">
      <c r="B157" s="186" t="s">
        <v>41</v>
      </c>
      <c r="C157" s="52">
        <f>GETPIVOTDATA("dato",'[1]graficas evolución mensual'!$A$174,"mes",8,"año",2008)</f>
        <v>6039</v>
      </c>
      <c r="D157" s="52">
        <f>GETPIVOTDATA("dato",'[1]graficas evolución mensual'!$A$174,"mes",8,"año",2009)</f>
        <v>4721</v>
      </c>
      <c r="E157" s="52">
        <f>GETPIVOTDATA("dato",'[1]graficas evolución mensual'!$A$174,"mes",8,"año",2010)</f>
        <v>0</v>
      </c>
      <c r="F157" s="187">
        <f t="shared" si="8"/>
        <v>-0.21824805431362804</v>
      </c>
      <c r="G157" s="187"/>
    </row>
    <row r="158" spans="2:7">
      <c r="B158" s="186" t="s">
        <v>40</v>
      </c>
      <c r="C158" s="52">
        <f>GETPIVOTDATA("dato",'[1]graficas evolución mensual'!$A$174,"mes",9,"año",2008)</f>
        <v>2442</v>
      </c>
      <c r="D158" s="52">
        <f>GETPIVOTDATA("dato",'[1]graficas evolución mensual'!$A$174,"mes",9,"año",2009)</f>
        <v>1922</v>
      </c>
      <c r="E158" s="52">
        <f>GETPIVOTDATA("dato",'[1]graficas evolución mensual'!$A$174,"mes",9,"año",2010)</f>
        <v>0</v>
      </c>
      <c r="F158" s="187">
        <f t="shared" si="8"/>
        <v>-0.21294021294021293</v>
      </c>
      <c r="G158" s="187"/>
    </row>
    <row r="159" spans="2:7">
      <c r="B159" s="186" t="s">
        <v>39</v>
      </c>
      <c r="C159" s="52">
        <f>GETPIVOTDATA("dato",'[1]graficas evolución mensual'!$A$174,"mes",10,"año",2008)</f>
        <v>3686</v>
      </c>
      <c r="D159" s="52">
        <f>GETPIVOTDATA("dato",'[1]graficas evolución mensual'!$A$174,"mes",10,"año",2009)</f>
        <v>3398</v>
      </c>
      <c r="E159" s="52">
        <f>GETPIVOTDATA("dato",'[1]graficas evolución mensual'!$A$174,"mes",10,"año",2010)</f>
        <v>0</v>
      </c>
      <c r="F159" s="187">
        <f t="shared" si="8"/>
        <v>-7.8133478024959291E-2</v>
      </c>
      <c r="G159" s="187"/>
    </row>
    <row r="160" spans="2:7">
      <c r="B160" s="186" t="s">
        <v>38</v>
      </c>
      <c r="C160" s="52">
        <f>GETPIVOTDATA("dato",'[1]graficas evolución mensual'!$A$174,"mes",11,"año",2008)</f>
        <v>2977</v>
      </c>
      <c r="D160" s="52">
        <f>GETPIVOTDATA("dato",'[1]graficas evolución mensual'!$A$174,"mes",11,"año",2009)</f>
        <v>2795</v>
      </c>
      <c r="E160" s="52">
        <f>GETPIVOTDATA("dato",'[1]graficas evolución mensual'!$A$174,"mes",11,"año",2010)</f>
        <v>0</v>
      </c>
      <c r="F160" s="187">
        <f t="shared" si="8"/>
        <v>-6.1135371179039333E-2</v>
      </c>
      <c r="G160" s="187"/>
    </row>
    <row r="161" spans="2:7">
      <c r="B161" s="186" t="s">
        <v>37</v>
      </c>
      <c r="C161" s="52">
        <f>GETPIVOTDATA("dato",'[1]graficas evolución mensual'!$A$174,"mes",12,"año",2008)</f>
        <v>2705</v>
      </c>
      <c r="D161" s="52">
        <f>GETPIVOTDATA("dato",'[1]graficas evolución mensual'!$A$174,"mes",12,"año",2009)</f>
        <v>2885</v>
      </c>
      <c r="E161" s="52">
        <f>GETPIVOTDATA("dato",'[1]graficas evolución mensual'!$A$174,"mes",12,"año",2010)</f>
        <v>0</v>
      </c>
      <c r="F161" s="187">
        <f t="shared" si="8"/>
        <v>6.6543438077633965E-2</v>
      </c>
      <c r="G161" s="187"/>
    </row>
    <row r="162" spans="2:7">
      <c r="B162" s="188" t="s">
        <v>93</v>
      </c>
      <c r="C162" s="82">
        <f>SUM(C150:C161)</f>
        <v>46070</v>
      </c>
      <c r="D162" s="82">
        <f>SUM(D150:D161)</f>
        <v>40507</v>
      </c>
      <c r="E162" s="82">
        <f>SUM(E150:E161)</f>
        <v>24738</v>
      </c>
      <c r="F162" s="189">
        <f t="shared" si="8"/>
        <v>-0.12075103103972218</v>
      </c>
      <c r="G162" s="189"/>
    </row>
    <row r="163" spans="2:7" ht="21.75" customHeight="1">
      <c r="B163" s="190" t="s">
        <v>141</v>
      </c>
      <c r="C163" s="191"/>
      <c r="D163" s="191"/>
      <c r="E163" s="191"/>
      <c r="F163" s="191"/>
      <c r="G163" s="192"/>
    </row>
    <row r="164" spans="2:7" ht="10.5" customHeight="1"/>
    <row r="165" spans="2:7" ht="7.5" customHeight="1"/>
    <row r="166" spans="2:7" ht="45" customHeight="1">
      <c r="B166" s="181" t="s">
        <v>150</v>
      </c>
      <c r="C166" s="182"/>
      <c r="D166" s="182"/>
      <c r="E166" s="182"/>
      <c r="F166" s="182"/>
      <c r="G166" s="183"/>
    </row>
    <row r="167" spans="2:7">
      <c r="B167" s="86"/>
      <c r="C167" s="86">
        <v>2008</v>
      </c>
      <c r="D167" s="86">
        <v>2009</v>
      </c>
      <c r="E167" s="86">
        <v>2010</v>
      </c>
      <c r="F167" s="86" t="s">
        <v>139</v>
      </c>
      <c r="G167" s="86" t="s">
        <v>140</v>
      </c>
    </row>
    <row r="168" spans="2:7">
      <c r="B168" s="184" t="s">
        <v>48</v>
      </c>
      <c r="C168" s="79">
        <f>GETPIVOTDATA("dato",'[1]graficas evolución mensual'!$A$195,"mes",1,"año",2008)</f>
        <v>5075</v>
      </c>
      <c r="D168" s="79">
        <f>GETPIVOTDATA("dato",'[1]graficas evolución mensual'!$A$195,"mes",1,"año",2009)</f>
        <v>4571</v>
      </c>
      <c r="E168" s="79">
        <f>GETPIVOTDATA("dato",'[1]graficas evolución mensual'!$A$195,"mes",1,"año",2010)</f>
        <v>4177</v>
      </c>
      <c r="F168" s="185">
        <f>D168/C168-1</f>
        <v>-9.9310344827586161E-2</v>
      </c>
      <c r="G168" s="185">
        <f>E168/D168-1</f>
        <v>-8.6195580835703334E-2</v>
      </c>
    </row>
    <row r="169" spans="2:7">
      <c r="B169" s="186" t="s">
        <v>47</v>
      </c>
      <c r="C169" s="52">
        <f>GETPIVOTDATA("dato",'[1]graficas evolución mensual'!$A$195,"mes",2,"año",2008)</f>
        <v>8233</v>
      </c>
      <c r="D169" s="52">
        <f>GETPIVOTDATA("dato",'[1]graficas evolución mensual'!$A$195,"mes",2,"año",2009)</f>
        <v>5803</v>
      </c>
      <c r="E169" s="52">
        <f>GETPIVOTDATA("dato",'[1]graficas evolución mensual'!$A$195,"mes",2,"año",2010)</f>
        <v>5435</v>
      </c>
      <c r="F169" s="187">
        <f t="shared" ref="F169:G180" si="9">D169/C169-1</f>
        <v>-0.29515364994534188</v>
      </c>
      <c r="G169" s="187">
        <f t="shared" si="9"/>
        <v>-6.3415474754437318E-2</v>
      </c>
    </row>
    <row r="170" spans="2:7">
      <c r="B170" s="186" t="s">
        <v>46</v>
      </c>
      <c r="C170" s="52">
        <f>GETPIVOTDATA("dato",'[1]graficas evolución mensual'!$A$195,"mes",3,"año",2008)</f>
        <v>6610</v>
      </c>
      <c r="D170" s="52">
        <f>GETPIVOTDATA("dato",'[1]graficas evolución mensual'!$A$195,"mes",3,"año",2009)</f>
        <v>4978</v>
      </c>
      <c r="E170" s="52">
        <f>GETPIVOTDATA("dato",'[1]graficas evolución mensual'!$A$195,"mes",3,"año",2010)</f>
        <v>4994</v>
      </c>
      <c r="F170" s="187">
        <f t="shared" si="9"/>
        <v>-0.24689863842662629</v>
      </c>
      <c r="G170" s="187">
        <f t="shared" si="9"/>
        <v>3.2141422257934149E-3</v>
      </c>
    </row>
    <row r="171" spans="2:7">
      <c r="B171" s="186" t="s">
        <v>45</v>
      </c>
      <c r="C171" s="52">
        <f>GETPIVOTDATA("dato",'[1]graficas evolución mensual'!$A$195,"mes",4,"año",2008)</f>
        <v>8249</v>
      </c>
      <c r="D171" s="52">
        <f>GETPIVOTDATA("dato",'[1]graficas evolución mensual'!$A$195,"mes",4,"año",2009)</f>
        <v>6271</v>
      </c>
      <c r="E171" s="52">
        <f>GETPIVOTDATA("dato",'[1]graficas evolución mensual'!$A$195,"mes",4,"año",2010)</f>
        <v>5201</v>
      </c>
      <c r="F171" s="187">
        <f t="shared" si="9"/>
        <v>-0.23978664080494605</v>
      </c>
      <c r="G171" s="187">
        <f t="shared" si="9"/>
        <v>-0.17062669430712807</v>
      </c>
    </row>
    <row r="172" spans="2:7">
      <c r="B172" s="186" t="s">
        <v>44</v>
      </c>
      <c r="C172" s="52">
        <f>GETPIVOTDATA("dato",'[1]graficas evolución mensual'!$A$195,"mes",5,"año",2008)</f>
        <v>5659</v>
      </c>
      <c r="D172" s="52">
        <f>GETPIVOTDATA("dato",'[1]graficas evolución mensual'!$A$195,"mes",5,"año",2009)</f>
        <v>4040</v>
      </c>
      <c r="E172" s="52">
        <f>GETPIVOTDATA("dato",'[1]graficas evolución mensual'!$A$195,"mes",5,"año",2010)</f>
        <v>5808</v>
      </c>
      <c r="F172" s="187">
        <f t="shared" si="9"/>
        <v>-0.28609294928432583</v>
      </c>
      <c r="G172" s="187">
        <f t="shared" si="9"/>
        <v>0.43762376237623757</v>
      </c>
    </row>
    <row r="173" spans="2:7">
      <c r="B173" s="186" t="s">
        <v>43</v>
      </c>
      <c r="C173" s="52">
        <f>GETPIVOTDATA("dato",'[1]graficas evolución mensual'!$A$195,"mes",6,"año",2008)</f>
        <v>4456</v>
      </c>
      <c r="D173" s="52">
        <f>GETPIVOTDATA("dato",'[1]graficas evolución mensual'!$A$195,"mes",6,"año",2009)</f>
        <v>3104</v>
      </c>
      <c r="E173" s="52">
        <f>GETPIVOTDATA("dato",'[1]graficas evolución mensual'!$A$195,"mes",6,"año",2010)</f>
        <v>2532</v>
      </c>
      <c r="F173" s="187">
        <f t="shared" si="9"/>
        <v>-0.303411131059246</v>
      </c>
      <c r="G173" s="187">
        <f t="shared" si="9"/>
        <v>-0.18427835051546393</v>
      </c>
    </row>
    <row r="174" spans="2:7">
      <c r="B174" s="186" t="s">
        <v>42</v>
      </c>
      <c r="C174" s="52">
        <f>GETPIVOTDATA("dato",'[1]graficas evolución mensual'!$A$195,"mes",7,"año",2008)</f>
        <v>7540</v>
      </c>
      <c r="D174" s="52">
        <f>GETPIVOTDATA("dato",'[1]graficas evolución mensual'!$A$195,"mes",7,"año",2009)</f>
        <v>6939</v>
      </c>
      <c r="E174" s="52">
        <f>GETPIVOTDATA("dato",'[1]graficas evolución mensual'!$A$195,"mes",7,"año",2010)</f>
        <v>5746</v>
      </c>
      <c r="F174" s="187">
        <f t="shared" si="9"/>
        <v>-7.9708222811671114E-2</v>
      </c>
      <c r="G174" s="187">
        <f t="shared" si="9"/>
        <v>-0.17192679060383342</v>
      </c>
    </row>
    <row r="175" spans="2:7">
      <c r="B175" s="186" t="s">
        <v>41</v>
      </c>
      <c r="C175" s="52">
        <f>GETPIVOTDATA("dato",'[1]graficas evolución mensual'!$A$195,"mes",8,"año",2008)</f>
        <v>5634</v>
      </c>
      <c r="D175" s="52">
        <f>GETPIVOTDATA("dato",'[1]graficas evolución mensual'!$A$195,"mes",8,"año",2009)</f>
        <v>5915</v>
      </c>
      <c r="E175" s="52">
        <f>GETPIVOTDATA("dato",'[1]graficas evolución mensual'!$A$195,"mes",8,"año",2010)</f>
        <v>0</v>
      </c>
      <c r="F175" s="187">
        <f t="shared" si="9"/>
        <v>4.9875754348597701E-2</v>
      </c>
      <c r="G175" s="187"/>
    </row>
    <row r="176" spans="2:7">
      <c r="B176" s="186" t="s">
        <v>40</v>
      </c>
      <c r="C176" s="52">
        <f>GETPIVOTDATA("dato",'[1]graficas evolución mensual'!$A$195,"mes",9,"año",2008)</f>
        <v>4799</v>
      </c>
      <c r="D176" s="52">
        <f>GETPIVOTDATA("dato",'[1]graficas evolución mensual'!$A$195,"mes",9,"año",2009)</f>
        <v>3937</v>
      </c>
      <c r="E176" s="52">
        <f>GETPIVOTDATA("dato",'[1]graficas evolución mensual'!$A$195,"mes",9,"año",2010)</f>
        <v>0</v>
      </c>
      <c r="F176" s="187">
        <f t="shared" si="9"/>
        <v>-0.17962075432381741</v>
      </c>
      <c r="G176" s="187"/>
    </row>
    <row r="177" spans="2:7">
      <c r="B177" s="186" t="s">
        <v>39</v>
      </c>
      <c r="C177" s="52">
        <f>GETPIVOTDATA("dato",'[1]graficas evolución mensual'!$A$195,"mes",10,"año",2008)</f>
        <v>8065</v>
      </c>
      <c r="D177" s="52">
        <f>GETPIVOTDATA("dato",'[1]graficas evolución mensual'!$A$195,"mes",10,"año",2009)</f>
        <v>5676</v>
      </c>
      <c r="E177" s="52">
        <f>GETPIVOTDATA("dato",'[1]graficas evolución mensual'!$A$195,"mes",10,"año",2010)</f>
        <v>0</v>
      </c>
      <c r="F177" s="187">
        <f t="shared" si="9"/>
        <v>-0.29621822690638566</v>
      </c>
      <c r="G177" s="187"/>
    </row>
    <row r="178" spans="2:7">
      <c r="B178" s="186" t="s">
        <v>38</v>
      </c>
      <c r="C178" s="52">
        <f>GETPIVOTDATA("dato",'[1]graficas evolución mensual'!$A$195,"mes",11,"año",2008)</f>
        <v>4990</v>
      </c>
      <c r="D178" s="52">
        <f>GETPIVOTDATA("dato",'[1]graficas evolución mensual'!$A$195,"mes",11,"año",2009)</f>
        <v>3947</v>
      </c>
      <c r="E178" s="52">
        <f>GETPIVOTDATA("dato",'[1]graficas evolución mensual'!$A$195,"mes",11,"año",2010)</f>
        <v>0</v>
      </c>
      <c r="F178" s="187">
        <f t="shared" si="9"/>
        <v>-0.20901803607214431</v>
      </c>
      <c r="G178" s="187"/>
    </row>
    <row r="179" spans="2:7">
      <c r="B179" s="186" t="s">
        <v>37</v>
      </c>
      <c r="C179" s="52">
        <f>GETPIVOTDATA("dato",'[1]graficas evolución mensual'!$A$195,"mes",12,"año",2008)</f>
        <v>5219</v>
      </c>
      <c r="D179" s="52">
        <f>GETPIVOTDATA("dato",'[1]graficas evolución mensual'!$A$195,"mes",12,"año",2009)</f>
        <v>4010</v>
      </c>
      <c r="E179" s="52">
        <f>GETPIVOTDATA("dato",'[1]graficas evolución mensual'!$A$195,"mes",12,"año",2010)</f>
        <v>0</v>
      </c>
      <c r="F179" s="187">
        <f t="shared" si="9"/>
        <v>-0.23165357348150983</v>
      </c>
      <c r="G179" s="187"/>
    </row>
    <row r="180" spans="2:7">
      <c r="B180" s="188" t="s">
        <v>93</v>
      </c>
      <c r="C180" s="82">
        <f>SUM(C168:C179)</f>
        <v>74529</v>
      </c>
      <c r="D180" s="82">
        <f>SUM(D168:D179)</f>
        <v>59191</v>
      </c>
      <c r="E180" s="82">
        <f>SUM(E168:E179)</f>
        <v>33893</v>
      </c>
      <c r="F180" s="189">
        <f t="shared" si="9"/>
        <v>-0.20579908491996401</v>
      </c>
      <c r="G180" s="189"/>
    </row>
    <row r="181" spans="2:7" ht="23.25" customHeight="1">
      <c r="B181" s="190" t="s">
        <v>141</v>
      </c>
      <c r="C181" s="191"/>
      <c r="D181" s="191"/>
      <c r="E181" s="191"/>
      <c r="F181" s="191"/>
      <c r="G181" s="192"/>
    </row>
    <row r="182" spans="2:7" ht="9.75" customHeight="1"/>
    <row r="183" spans="2:7" ht="7.5" customHeight="1"/>
    <row r="184" spans="2:7" ht="45" customHeight="1">
      <c r="B184" s="181" t="s">
        <v>151</v>
      </c>
      <c r="C184" s="182"/>
      <c r="D184" s="182"/>
      <c r="E184" s="182"/>
      <c r="F184" s="182"/>
      <c r="G184" s="183"/>
    </row>
    <row r="185" spans="2:7">
      <c r="B185" s="86"/>
      <c r="C185" s="86">
        <v>2008</v>
      </c>
      <c r="D185" s="86">
        <v>2009</v>
      </c>
      <c r="E185" s="86">
        <v>2010</v>
      </c>
      <c r="F185" s="86" t="s">
        <v>139</v>
      </c>
      <c r="G185" s="86" t="s">
        <v>140</v>
      </c>
    </row>
    <row r="186" spans="2:7">
      <c r="B186" s="184" t="s">
        <v>48</v>
      </c>
      <c r="C186" s="79">
        <f>GETPIVOTDATA("dato",'[1]graficas evolución mensual'!$A$69,"mes",1,"año",2008)</f>
        <v>5586</v>
      </c>
      <c r="D186" s="79">
        <f>GETPIVOTDATA("dato",'[1]graficas evolución mensual'!$A$69,"mes",1,"año",2009)</f>
        <v>6210</v>
      </c>
      <c r="E186" s="79">
        <f>GETPIVOTDATA("dato",'[1]graficas evolución mensual'!$A$69,"mes",1,"año",2010)</f>
        <v>6177</v>
      </c>
      <c r="F186" s="185">
        <f>D186/C186-1</f>
        <v>0.11170784103114939</v>
      </c>
      <c r="G186" s="185">
        <f>E186/D186-1</f>
        <v>-5.3140096618357058E-3</v>
      </c>
    </row>
    <row r="187" spans="2:7">
      <c r="B187" s="186" t="s">
        <v>47</v>
      </c>
      <c r="C187" s="52">
        <f>GETPIVOTDATA("dato",'[1]graficas evolución mensual'!$A$69,"mes",2,"año",2008)</f>
        <v>5945</v>
      </c>
      <c r="D187" s="52">
        <f>GETPIVOTDATA("dato",'[1]graficas evolución mensual'!$A$69,"mes",2,"año",2009)</f>
        <v>4738</v>
      </c>
      <c r="E187" s="52">
        <f>GETPIVOTDATA("dato",'[1]graficas evolución mensual'!$A$69,"mes",2,"año",2010)</f>
        <v>5258</v>
      </c>
      <c r="F187" s="187">
        <f t="shared" ref="F187:G198" si="10">D187/C187-1</f>
        <v>-0.20302775441547516</v>
      </c>
      <c r="G187" s="187">
        <f t="shared" si="10"/>
        <v>0.10975094976783462</v>
      </c>
    </row>
    <row r="188" spans="2:7">
      <c r="B188" s="186" t="s">
        <v>46</v>
      </c>
      <c r="C188" s="52">
        <f>GETPIVOTDATA("dato",'[1]graficas evolución mensual'!$A$69,"mes",3,"año",2008)</f>
        <v>6819</v>
      </c>
      <c r="D188" s="52">
        <f>GETPIVOTDATA("dato",'[1]graficas evolución mensual'!$A$69,"mes",3,"año",2009)</f>
        <v>4487</v>
      </c>
      <c r="E188" s="52">
        <f>GETPIVOTDATA("dato",'[1]graficas evolución mensual'!$A$69,"mes",3,"año",2010)</f>
        <v>4699</v>
      </c>
      <c r="F188" s="187">
        <f t="shared" si="10"/>
        <v>-0.34198562839125968</v>
      </c>
      <c r="G188" s="187">
        <f t="shared" si="10"/>
        <v>4.7247604189881942E-2</v>
      </c>
    </row>
    <row r="189" spans="2:7">
      <c r="B189" s="186" t="s">
        <v>45</v>
      </c>
      <c r="C189" s="52">
        <f>GETPIVOTDATA("dato",'[1]graficas evolución mensual'!$A$69,"mes",4,"año",2008)</f>
        <v>4431</v>
      </c>
      <c r="D189" s="52">
        <f>GETPIVOTDATA("dato",'[1]graficas evolución mensual'!$A$69,"mes",4,"año",2009)</f>
        <v>6813</v>
      </c>
      <c r="E189" s="52">
        <f>GETPIVOTDATA("dato",'[1]graficas evolución mensual'!$A$69,"mes",4,"año",2010)</f>
        <v>7452</v>
      </c>
      <c r="F189" s="187">
        <f t="shared" si="10"/>
        <v>0.5375761679079214</v>
      </c>
      <c r="G189" s="187">
        <f t="shared" si="10"/>
        <v>9.3791281373844182E-2</v>
      </c>
    </row>
    <row r="190" spans="2:7">
      <c r="B190" s="186" t="s">
        <v>44</v>
      </c>
      <c r="C190" s="52">
        <f>GETPIVOTDATA("dato",'[1]graficas evolución mensual'!$A$69,"mes",5,"año",2008)</f>
        <v>3051</v>
      </c>
      <c r="D190" s="52">
        <f>GETPIVOTDATA("dato",'[1]graficas evolución mensual'!$A$69,"mes",5,"año",2009)</f>
        <v>3425</v>
      </c>
      <c r="E190" s="52">
        <f>GETPIVOTDATA("dato",'[1]graficas evolución mensual'!$A$69,"mes",5,"año",2010)</f>
        <v>4176</v>
      </c>
      <c r="F190" s="187">
        <f t="shared" si="10"/>
        <v>0.12258275975090127</v>
      </c>
      <c r="G190" s="187">
        <f t="shared" si="10"/>
        <v>0.21927007299270063</v>
      </c>
    </row>
    <row r="191" spans="2:7">
      <c r="B191" s="186" t="s">
        <v>43</v>
      </c>
      <c r="C191" s="52">
        <f>GETPIVOTDATA("dato",'[1]graficas evolución mensual'!$A$69,"mes",6,"año",2008)</f>
        <v>3620</v>
      </c>
      <c r="D191" s="52">
        <f>GETPIVOTDATA("dato",'[1]graficas evolución mensual'!$A$69,"mes",6,"año",2009)</f>
        <v>3336</v>
      </c>
      <c r="E191" s="52">
        <f>GETPIVOTDATA("dato",'[1]graficas evolución mensual'!$A$69,"mes",6,"año",2010)</f>
        <v>4162</v>
      </c>
      <c r="F191" s="187">
        <f t="shared" si="10"/>
        <v>-7.8453038674033193E-2</v>
      </c>
      <c r="G191" s="187">
        <f t="shared" si="10"/>
        <v>0.24760191846522783</v>
      </c>
    </row>
    <row r="192" spans="2:7">
      <c r="B192" s="186" t="s">
        <v>42</v>
      </c>
      <c r="C192" s="52">
        <f>GETPIVOTDATA("dato",'[1]graficas evolución mensual'!$A$69,"mes",7,"año",2008)</f>
        <v>4409</v>
      </c>
      <c r="D192" s="52">
        <f>GETPIVOTDATA("dato",'[1]graficas evolución mensual'!$A$69,"mes",7,"año",2009)</f>
        <v>5674</v>
      </c>
      <c r="E192" s="52">
        <f>GETPIVOTDATA("dato",'[1]graficas evolución mensual'!$A$69,"mes",7,"año",2010)</f>
        <v>6241</v>
      </c>
      <c r="F192" s="187">
        <f t="shared" si="10"/>
        <v>0.28691313222953041</v>
      </c>
      <c r="G192" s="187">
        <f t="shared" si="10"/>
        <v>9.9929502996122688E-2</v>
      </c>
    </row>
    <row r="193" spans="2:7">
      <c r="B193" s="186" t="s">
        <v>41</v>
      </c>
      <c r="C193" s="52">
        <f>GETPIVOTDATA("dato",'[1]graficas evolución mensual'!$A$69,"mes",8,"año",2008)</f>
        <v>5121</v>
      </c>
      <c r="D193" s="52">
        <f>GETPIVOTDATA("dato",'[1]graficas evolución mensual'!$A$69,"mes",8,"año",2009)</f>
        <v>5707</v>
      </c>
      <c r="E193" s="52">
        <f>GETPIVOTDATA("dato",'[1]graficas evolución mensual'!$A$69,"mes",8,"año",2010)</f>
        <v>0</v>
      </c>
      <c r="F193" s="187">
        <f t="shared" si="10"/>
        <v>0.11443077523921108</v>
      </c>
      <c r="G193" s="187"/>
    </row>
    <row r="194" spans="2:7">
      <c r="B194" s="186" t="s">
        <v>40</v>
      </c>
      <c r="C194" s="52">
        <f>GETPIVOTDATA("dato",'[1]graficas evolución mensual'!$A$69,"mes",9,"año",2008)</f>
        <v>3614</v>
      </c>
      <c r="D194" s="52">
        <f>GETPIVOTDATA("dato",'[1]graficas evolución mensual'!$A$69,"mes",9,"año",2009)</f>
        <v>4010</v>
      </c>
      <c r="E194" s="52">
        <f>GETPIVOTDATA("dato",'[1]graficas evolución mensual'!$A$69,"mes",9,"año",2010)</f>
        <v>0</v>
      </c>
      <c r="F194" s="187">
        <f t="shared" si="10"/>
        <v>0.10957387935805207</v>
      </c>
      <c r="G194" s="187"/>
    </row>
    <row r="195" spans="2:7">
      <c r="B195" s="186" t="s">
        <v>39</v>
      </c>
      <c r="C195" s="52">
        <f>GETPIVOTDATA("dato",'[1]graficas evolución mensual'!$A$69,"mes",10,"año",2008)</f>
        <v>4939</v>
      </c>
      <c r="D195" s="52">
        <f>GETPIVOTDATA("dato",'[1]graficas evolución mensual'!$A$69,"mes",10,"año",2009)</f>
        <v>4533</v>
      </c>
      <c r="E195" s="52">
        <f>GETPIVOTDATA("dato",'[1]graficas evolución mensual'!$A$69,"mes",10,"año",2010)</f>
        <v>0</v>
      </c>
      <c r="F195" s="187">
        <f t="shared" si="10"/>
        <v>-8.2202875075926274E-2</v>
      </c>
      <c r="G195" s="187"/>
    </row>
    <row r="196" spans="2:7">
      <c r="B196" s="186" t="s">
        <v>38</v>
      </c>
      <c r="C196" s="52">
        <f>GETPIVOTDATA("dato",'[1]graficas evolución mensual'!$A$69,"mes",11,"año",2008)</f>
        <v>5044</v>
      </c>
      <c r="D196" s="52">
        <f>GETPIVOTDATA("dato",'[1]graficas evolución mensual'!$A$69,"mes",11,"año",2009)</f>
        <v>6045</v>
      </c>
      <c r="E196" s="52">
        <f>GETPIVOTDATA("dato",'[1]graficas evolución mensual'!$A$69,"mes",11,"año",2010)</f>
        <v>0</v>
      </c>
      <c r="F196" s="187">
        <f t="shared" si="10"/>
        <v>0.19845360824742264</v>
      </c>
      <c r="G196" s="187"/>
    </row>
    <row r="197" spans="2:7">
      <c r="B197" s="186" t="s">
        <v>37</v>
      </c>
      <c r="C197" s="52">
        <f>GETPIVOTDATA("dato",'[1]graficas evolución mensual'!$A$69,"mes",12,"año",2008)</f>
        <v>5761</v>
      </c>
      <c r="D197" s="52">
        <f>GETPIVOTDATA("dato",'[1]graficas evolución mensual'!$A$69,"mes",12,"año",2009)</f>
        <v>6014</v>
      </c>
      <c r="E197" s="52">
        <f>GETPIVOTDATA("dato",'[1]graficas evolución mensual'!$A$69,"mes",12,"año",2010)</f>
        <v>0</v>
      </c>
      <c r="F197" s="187">
        <f t="shared" si="10"/>
        <v>4.3915986807845808E-2</v>
      </c>
      <c r="G197" s="187"/>
    </row>
    <row r="198" spans="2:7">
      <c r="B198" s="188" t="s">
        <v>93</v>
      </c>
      <c r="C198" s="82">
        <f>SUM(C186:C197)</f>
        <v>58340</v>
      </c>
      <c r="D198" s="82">
        <f>SUM(D186:D197)</f>
        <v>60992</v>
      </c>
      <c r="E198" s="82">
        <f>SUM(E186:E197)</f>
        <v>38165</v>
      </c>
      <c r="F198" s="189">
        <f t="shared" si="10"/>
        <v>4.5457661981487929E-2</v>
      </c>
      <c r="G198" s="189"/>
    </row>
    <row r="199" spans="2:7" ht="21.75" customHeight="1">
      <c r="B199" s="190" t="s">
        <v>141</v>
      </c>
      <c r="C199" s="191"/>
      <c r="D199" s="191"/>
      <c r="E199" s="191"/>
      <c r="F199" s="191"/>
      <c r="G199" s="192"/>
    </row>
    <row r="200" spans="2:7" ht="7.5" customHeight="1"/>
    <row r="201" spans="2:7" ht="7.5" customHeight="1"/>
    <row r="202" spans="2:7" ht="45.75" customHeight="1">
      <c r="B202" s="181" t="s">
        <v>152</v>
      </c>
      <c r="C202" s="182"/>
      <c r="D202" s="182"/>
      <c r="E202" s="182"/>
      <c r="F202" s="182"/>
      <c r="G202" s="183"/>
    </row>
    <row r="203" spans="2:7">
      <c r="B203" s="86"/>
      <c r="C203" s="86">
        <v>2008</v>
      </c>
      <c r="D203" s="86">
        <v>2009</v>
      </c>
      <c r="E203" s="86">
        <v>2010</v>
      </c>
      <c r="F203" s="86" t="s">
        <v>139</v>
      </c>
      <c r="G203" s="86" t="s">
        <v>140</v>
      </c>
    </row>
    <row r="204" spans="2:7">
      <c r="B204" s="184" t="s">
        <v>48</v>
      </c>
      <c r="C204" s="79">
        <f>GETPIVOTDATA("dato",'[1]graficas evolución mensual'!$A$237,"mes",1,"año",2008)</f>
        <v>4693</v>
      </c>
      <c r="D204" s="79">
        <f>GETPIVOTDATA("dato",'[1]graficas evolución mensual'!$A$237,"mes",1,"año",2009)</f>
        <v>4907</v>
      </c>
      <c r="E204" s="79">
        <f>GETPIVOTDATA("dato",'[1]graficas evolución mensual'!$A$237,"mes",1,"año",2010)</f>
        <v>5105</v>
      </c>
      <c r="F204" s="185">
        <f>D204/C204-1</f>
        <v>4.5599829533347513E-2</v>
      </c>
      <c r="G204" s="185">
        <f>E204/D204-1</f>
        <v>4.0350519665783624E-2</v>
      </c>
    </row>
    <row r="205" spans="2:7">
      <c r="B205" s="186" t="s">
        <v>47</v>
      </c>
      <c r="C205" s="52">
        <f>GETPIVOTDATA("dato",'[1]graficas evolución mensual'!$A$237,"mes",2,"año",2008)</f>
        <v>3585</v>
      </c>
      <c r="D205" s="52">
        <f>GETPIVOTDATA("dato",'[1]graficas evolución mensual'!$A$237,"mes",2,"año",2009)</f>
        <v>4002</v>
      </c>
      <c r="E205" s="52">
        <f>GETPIVOTDATA("dato",'[1]graficas evolución mensual'!$A$237,"mes",2,"año",2010)</f>
        <v>3897</v>
      </c>
      <c r="F205" s="187">
        <f t="shared" ref="F205:G216" si="11">D205/C205-1</f>
        <v>0.11631799163179912</v>
      </c>
      <c r="G205" s="187">
        <f t="shared" si="11"/>
        <v>-2.6236881559220437E-2</v>
      </c>
    </row>
    <row r="206" spans="2:7">
      <c r="B206" s="186" t="s">
        <v>46</v>
      </c>
      <c r="C206" s="52">
        <f>GETPIVOTDATA("dato",'[1]graficas evolución mensual'!$A$237,"mes",3,"año",2008)</f>
        <v>3059</v>
      </c>
      <c r="D206" s="52">
        <f>GETPIVOTDATA("dato",'[1]graficas evolución mensual'!$A$237,"mes",3,"año",2009)</f>
        <v>3281</v>
      </c>
      <c r="E206" s="52">
        <f>GETPIVOTDATA("dato",'[1]graficas evolución mensual'!$A$237,"mes",3,"año",2010)</f>
        <v>3266</v>
      </c>
      <c r="F206" s="187">
        <f t="shared" si="11"/>
        <v>7.2572736188296849E-2</v>
      </c>
      <c r="G206" s="187">
        <f t="shared" si="11"/>
        <v>-4.5717768972873829E-3</v>
      </c>
    </row>
    <row r="207" spans="2:7">
      <c r="B207" s="186" t="s">
        <v>45</v>
      </c>
      <c r="C207" s="52">
        <f>GETPIVOTDATA("dato",'[1]graficas evolución mensual'!$A$237,"mes",4,"año",2008)</f>
        <v>2539</v>
      </c>
      <c r="D207" s="52">
        <f>GETPIVOTDATA("dato",'[1]graficas evolución mensual'!$A$237,"mes",4,"año",2009)</f>
        <v>2814</v>
      </c>
      <c r="E207" s="52">
        <f>GETPIVOTDATA("dato",'[1]graficas evolución mensual'!$A$237,"mes",4,"año",2010)</f>
        <v>2538</v>
      </c>
      <c r="F207" s="187">
        <f t="shared" si="11"/>
        <v>0.1083103584088223</v>
      </c>
      <c r="G207" s="187">
        <f t="shared" si="11"/>
        <v>-9.8081023454157812E-2</v>
      </c>
    </row>
    <row r="208" spans="2:7">
      <c r="B208" s="186" t="s">
        <v>44</v>
      </c>
      <c r="C208" s="52">
        <f>GETPIVOTDATA("dato",'[1]graficas evolución mensual'!$A$237,"mes",5,"año",2008)</f>
        <v>2353</v>
      </c>
      <c r="D208" s="52">
        <f>GETPIVOTDATA("dato",'[1]graficas evolución mensual'!$A$237,"mes",5,"año",2009)</f>
        <v>2040</v>
      </c>
      <c r="E208" s="52">
        <f>GETPIVOTDATA("dato",'[1]graficas evolución mensual'!$A$237,"mes",5,"año",2010)</f>
        <v>2290</v>
      </c>
      <c r="F208" s="187">
        <f t="shared" si="11"/>
        <v>-0.13302167445813851</v>
      </c>
      <c r="G208" s="187">
        <f t="shared" si="11"/>
        <v>0.12254901960784315</v>
      </c>
    </row>
    <row r="209" spans="2:7">
      <c r="B209" s="186" t="s">
        <v>43</v>
      </c>
      <c r="C209" s="52">
        <f>GETPIVOTDATA("dato",'[1]graficas evolución mensual'!$A$237,"mes",6,"año",2008)</f>
        <v>3818</v>
      </c>
      <c r="D209" s="52">
        <f>GETPIVOTDATA("dato",'[1]graficas evolución mensual'!$A$237,"mes",6,"año",2009)</f>
        <v>2516</v>
      </c>
      <c r="E209" s="52">
        <f>GETPIVOTDATA("dato",'[1]graficas evolución mensual'!$A$237,"mes",6,"año",2010)</f>
        <v>2727</v>
      </c>
      <c r="F209" s="187">
        <f t="shared" si="11"/>
        <v>-0.34101623886851751</v>
      </c>
      <c r="G209" s="187">
        <f t="shared" si="11"/>
        <v>8.3863275039745666E-2</v>
      </c>
    </row>
    <row r="210" spans="2:7">
      <c r="B210" s="186" t="s">
        <v>42</v>
      </c>
      <c r="C210" s="52">
        <f>GETPIVOTDATA("dato",'[1]graficas evolución mensual'!$A$237,"mes",7,"año",2008)</f>
        <v>3211</v>
      </c>
      <c r="D210" s="52">
        <f>GETPIVOTDATA("dato",'[1]graficas evolución mensual'!$A$237,"mes",7,"año",2009)</f>
        <v>2931</v>
      </c>
      <c r="E210" s="52">
        <f>GETPIVOTDATA("dato",'[1]graficas evolución mensual'!$A$237,"mes",7,"año",2010)</f>
        <v>3797</v>
      </c>
      <c r="F210" s="187">
        <f t="shared" si="11"/>
        <v>-8.7200249143568942E-2</v>
      </c>
      <c r="G210" s="187">
        <f t="shared" si="11"/>
        <v>0.2954622995564653</v>
      </c>
    </row>
    <row r="211" spans="2:7">
      <c r="B211" s="186" t="s">
        <v>41</v>
      </c>
      <c r="C211" s="52">
        <f>GETPIVOTDATA("dato",'[1]graficas evolución mensual'!$A$237,"mes",8,"año",2008)</f>
        <v>6840</v>
      </c>
      <c r="D211" s="52">
        <f>GETPIVOTDATA("dato",'[1]graficas evolución mensual'!$A$237,"mes",8,"año",2009)</f>
        <v>7030</v>
      </c>
      <c r="E211" s="52">
        <f>GETPIVOTDATA("dato",'[1]graficas evolución mensual'!$A$237,"mes",8,"año",2010)</f>
        <v>0</v>
      </c>
      <c r="F211" s="187">
        <f t="shared" si="11"/>
        <v>2.7777777777777679E-2</v>
      </c>
      <c r="G211" s="187"/>
    </row>
    <row r="212" spans="2:7">
      <c r="B212" s="186" t="s">
        <v>40</v>
      </c>
      <c r="C212" s="52">
        <f>GETPIVOTDATA("dato",'[1]graficas evolución mensual'!$A$237,"mes",9,"año",2008)</f>
        <v>2382</v>
      </c>
      <c r="D212" s="52">
        <f>GETPIVOTDATA("dato",'[1]graficas evolución mensual'!$A$237,"mes",9,"año",2009)</f>
        <v>2390</v>
      </c>
      <c r="E212" s="52">
        <f>GETPIVOTDATA("dato",'[1]graficas evolución mensual'!$A$237,"mes",9,"año",2010)</f>
        <v>0</v>
      </c>
      <c r="F212" s="187">
        <f t="shared" si="11"/>
        <v>3.3585222502099388E-3</v>
      </c>
      <c r="G212" s="187"/>
    </row>
    <row r="213" spans="2:7">
      <c r="B213" s="186" t="s">
        <v>39</v>
      </c>
      <c r="C213" s="52">
        <f>GETPIVOTDATA("dato",'[1]graficas evolución mensual'!$A$237,"mes",10,"año",2008)</f>
        <v>2256</v>
      </c>
      <c r="D213" s="52">
        <f>GETPIVOTDATA("dato",'[1]graficas evolución mensual'!$A$237,"mes",10,"año",2009)</f>
        <v>2420</v>
      </c>
      <c r="E213" s="52">
        <f>GETPIVOTDATA("dato",'[1]graficas evolución mensual'!$A$237,"mes",10,"año",2010)</f>
        <v>0</v>
      </c>
      <c r="F213" s="187">
        <f t="shared" si="11"/>
        <v>7.2695035460992985E-2</v>
      </c>
      <c r="G213" s="187"/>
    </row>
    <row r="214" spans="2:7">
      <c r="B214" s="186" t="s">
        <v>38</v>
      </c>
      <c r="C214" s="52">
        <f>GETPIVOTDATA("dato",'[1]graficas evolución mensual'!$A$237,"mes",11,"año",2008)</f>
        <v>2578</v>
      </c>
      <c r="D214" s="52">
        <f>GETPIVOTDATA("dato",'[1]graficas evolución mensual'!$A$237,"mes",11,"año",2009)</f>
        <v>2167</v>
      </c>
      <c r="E214" s="52">
        <f>GETPIVOTDATA("dato",'[1]graficas evolución mensual'!$A$237,"mes",11,"año",2010)</f>
        <v>0</v>
      </c>
      <c r="F214" s="187">
        <f t="shared" si="11"/>
        <v>-0.15942591155934838</v>
      </c>
      <c r="G214" s="187"/>
    </row>
    <row r="215" spans="2:7">
      <c r="B215" s="186" t="s">
        <v>37</v>
      </c>
      <c r="C215" s="52">
        <f>GETPIVOTDATA("dato",'[1]graficas evolución mensual'!$A$237,"mes",12,"año",2008)</f>
        <v>3461</v>
      </c>
      <c r="D215" s="52">
        <f>GETPIVOTDATA("dato",'[1]graficas evolución mensual'!$A$237,"mes",12,"año",2009)</f>
        <v>3032</v>
      </c>
      <c r="E215" s="52">
        <f>GETPIVOTDATA("dato",'[1]graficas evolución mensual'!$A$237,"mes",12,"año",2010)</f>
        <v>0</v>
      </c>
      <c r="F215" s="187">
        <f t="shared" si="11"/>
        <v>-0.12395261485119913</v>
      </c>
      <c r="G215" s="187"/>
    </row>
    <row r="216" spans="2:7">
      <c r="B216" s="188" t="s">
        <v>93</v>
      </c>
      <c r="C216" s="82">
        <f>SUM(C204:C215)</f>
        <v>40775</v>
      </c>
      <c r="D216" s="82">
        <f>SUM(D204:D215)</f>
        <v>39530</v>
      </c>
      <c r="E216" s="82">
        <f>SUM(E204:E215)</f>
        <v>23620</v>
      </c>
      <c r="F216" s="189">
        <f t="shared" si="11"/>
        <v>-3.0533415082771298E-2</v>
      </c>
      <c r="G216" s="189"/>
    </row>
    <row r="217" spans="2:7" ht="22.5" customHeight="1">
      <c r="B217" s="190" t="s">
        <v>141</v>
      </c>
      <c r="C217" s="191"/>
      <c r="D217" s="191"/>
      <c r="E217" s="191"/>
      <c r="F217" s="191"/>
      <c r="G217" s="192"/>
    </row>
    <row r="218" spans="2:7" ht="8.25" customHeight="1"/>
    <row r="219" spans="2:7" ht="6.75" customHeight="1"/>
    <row r="220" spans="2:7" ht="45.75" customHeight="1">
      <c r="B220" s="181" t="s">
        <v>153</v>
      </c>
      <c r="C220" s="182"/>
      <c r="D220" s="182"/>
      <c r="E220" s="182"/>
      <c r="F220" s="182"/>
      <c r="G220" s="183"/>
    </row>
    <row r="221" spans="2:7">
      <c r="B221" s="86"/>
      <c r="C221" s="86">
        <v>2008</v>
      </c>
      <c r="D221" s="86">
        <v>2009</v>
      </c>
      <c r="E221" s="86">
        <v>2010</v>
      </c>
      <c r="F221" s="86" t="s">
        <v>139</v>
      </c>
      <c r="G221" s="86" t="s">
        <v>140</v>
      </c>
    </row>
    <row r="222" spans="2:7">
      <c r="B222" s="184" t="s">
        <v>48</v>
      </c>
      <c r="C222" s="79">
        <f>GETPIVOTDATA("dato",'[1]graficas evolución mensual'!$A$279,"mes",1,"año",2008)</f>
        <v>4872</v>
      </c>
      <c r="D222" s="79">
        <f>GETPIVOTDATA("dato",'[1]graficas evolución mensual'!$A$279,"mes",1,"año",2009)</f>
        <v>3874</v>
      </c>
      <c r="E222" s="79">
        <f>GETPIVOTDATA("dato",'[1]graficas evolución mensual'!$A$279,"mes",1,"año",2010)</f>
        <v>3623</v>
      </c>
      <c r="F222" s="185">
        <f>D222/C222-1</f>
        <v>-0.2048440065681445</v>
      </c>
      <c r="G222" s="185">
        <f>E222/D222-1</f>
        <v>-6.479091378420232E-2</v>
      </c>
    </row>
    <row r="223" spans="2:7">
      <c r="B223" s="186" t="s">
        <v>47</v>
      </c>
      <c r="C223" s="52">
        <f>GETPIVOTDATA("dato",'[1]graficas evolución mensual'!$A$279,"mes",2,"año",2008)</f>
        <v>3250</v>
      </c>
      <c r="D223" s="52">
        <f>GETPIVOTDATA("dato",'[1]graficas evolución mensual'!$A$279,"mes",2,"año",2009)</f>
        <v>1864</v>
      </c>
      <c r="E223" s="52">
        <f>GETPIVOTDATA("dato",'[1]graficas evolución mensual'!$A$279,"mes",2,"año",2010)</f>
        <v>2290</v>
      </c>
      <c r="F223" s="187">
        <f t="shared" ref="F223:G234" si="12">D223/C223-1</f>
        <v>-0.42646153846153845</v>
      </c>
      <c r="G223" s="187">
        <f t="shared" si="12"/>
        <v>0.22854077253218885</v>
      </c>
    </row>
    <row r="224" spans="2:7">
      <c r="B224" s="186" t="s">
        <v>46</v>
      </c>
      <c r="C224" s="52">
        <f>GETPIVOTDATA("dato",'[1]graficas evolución mensual'!$A$279,"mes",3,"año",2008)</f>
        <v>3466</v>
      </c>
      <c r="D224" s="52">
        <f>GETPIVOTDATA("dato",'[1]graficas evolución mensual'!$A$279,"mes",3,"año",2009)</f>
        <v>2810</v>
      </c>
      <c r="E224" s="52">
        <f>GETPIVOTDATA("dato",'[1]graficas evolución mensual'!$A$279,"mes",3,"año",2010)</f>
        <v>3017</v>
      </c>
      <c r="F224" s="187">
        <f t="shared" si="12"/>
        <v>-0.18926716676283906</v>
      </c>
      <c r="G224" s="187">
        <f t="shared" si="12"/>
        <v>7.3665480427046237E-2</v>
      </c>
    </row>
    <row r="225" spans="2:7">
      <c r="B225" s="186" t="s">
        <v>45</v>
      </c>
      <c r="C225" s="52">
        <f>GETPIVOTDATA("dato",'[1]graficas evolución mensual'!$A$279,"mes",4,"año",2008)</f>
        <v>4572</v>
      </c>
      <c r="D225" s="52">
        <f>GETPIVOTDATA("dato",'[1]graficas evolución mensual'!$A$279,"mes",4,"año",2009)</f>
        <v>2964</v>
      </c>
      <c r="E225" s="52">
        <f>GETPIVOTDATA("dato",'[1]graficas evolución mensual'!$A$279,"mes",4,"año",2010)</f>
        <v>4601</v>
      </c>
      <c r="F225" s="187">
        <f t="shared" si="12"/>
        <v>-0.35170603674540679</v>
      </c>
      <c r="G225" s="187">
        <f t="shared" si="12"/>
        <v>0.5522941970310391</v>
      </c>
    </row>
    <row r="226" spans="2:7">
      <c r="B226" s="186" t="s">
        <v>44</v>
      </c>
      <c r="C226" s="52">
        <f>GETPIVOTDATA("dato",'[1]graficas evolución mensual'!$A$279,"mes",5,"año",2008)</f>
        <v>5734</v>
      </c>
      <c r="D226" s="52">
        <f>GETPIVOTDATA("dato",'[1]graficas evolución mensual'!$A$279,"mes",5,"año",2009)</f>
        <v>4491</v>
      </c>
      <c r="E226" s="52">
        <f>GETPIVOTDATA("dato",'[1]graficas evolución mensual'!$A$279,"mes",5,"año",2010)</f>
        <v>3546</v>
      </c>
      <c r="F226" s="187">
        <f t="shared" si="12"/>
        <v>-0.21677711893965823</v>
      </c>
      <c r="G226" s="187">
        <f t="shared" si="12"/>
        <v>-0.21042084168336672</v>
      </c>
    </row>
    <row r="227" spans="2:7">
      <c r="B227" s="186" t="s">
        <v>43</v>
      </c>
      <c r="C227" s="52">
        <f>GETPIVOTDATA("dato",'[1]graficas evolución mensual'!$A$279,"mes",6,"año",2008)</f>
        <v>5112</v>
      </c>
      <c r="D227" s="52">
        <f>GETPIVOTDATA("dato",'[1]graficas evolución mensual'!$A$279,"mes",6,"año",2009)</f>
        <v>3620</v>
      </c>
      <c r="E227" s="52">
        <f>GETPIVOTDATA("dato",'[1]graficas evolución mensual'!$A$279,"mes",6,"año",2010)</f>
        <v>4158</v>
      </c>
      <c r="F227" s="187">
        <f t="shared" si="12"/>
        <v>-0.29186228482003129</v>
      </c>
      <c r="G227" s="187">
        <f t="shared" si="12"/>
        <v>0.14861878453038679</v>
      </c>
    </row>
    <row r="228" spans="2:7">
      <c r="B228" s="186" t="s">
        <v>42</v>
      </c>
      <c r="C228" s="52">
        <f>GETPIVOTDATA("dato",'[1]graficas evolución mensual'!$A$279,"mes",7,"año",2008)</f>
        <v>5005</v>
      </c>
      <c r="D228" s="52">
        <f>GETPIVOTDATA("dato",'[1]graficas evolución mensual'!$A$279,"mes",7,"año",2009)</f>
        <v>4201</v>
      </c>
      <c r="E228" s="52">
        <f>GETPIVOTDATA("dato",'[1]graficas evolución mensual'!$A$279,"mes",7,"año",2010)</f>
        <v>6396</v>
      </c>
      <c r="F228" s="187">
        <f t="shared" si="12"/>
        <v>-0.16063936063936068</v>
      </c>
      <c r="G228" s="187">
        <f t="shared" si="12"/>
        <v>0.52249464413234947</v>
      </c>
    </row>
    <row r="229" spans="2:7">
      <c r="B229" s="186" t="s">
        <v>41</v>
      </c>
      <c r="C229" s="52">
        <f>GETPIVOTDATA("dato",'[1]graficas evolución mensual'!$A$279,"mes",8,"año",2008)</f>
        <v>5477</v>
      </c>
      <c r="D229" s="52">
        <f>GETPIVOTDATA("dato",'[1]graficas evolución mensual'!$A$279,"mes",8,"año",2009)</f>
        <v>3668</v>
      </c>
      <c r="E229" s="52">
        <f>GETPIVOTDATA("dato",'[1]graficas evolución mensual'!$A$279,"mes",8,"año",2010)</f>
        <v>0</v>
      </c>
      <c r="F229" s="187">
        <f t="shared" si="12"/>
        <v>-0.33029030491144784</v>
      </c>
      <c r="G229" s="187"/>
    </row>
    <row r="230" spans="2:7">
      <c r="B230" s="186" t="s">
        <v>40</v>
      </c>
      <c r="C230" s="52">
        <f>GETPIVOTDATA("dato",'[1]graficas evolución mensual'!$A$279,"mes",9,"año",2008)</f>
        <v>4051</v>
      </c>
      <c r="D230" s="52">
        <f>GETPIVOTDATA("dato",'[1]graficas evolución mensual'!$A$279,"mes",9,"año",2009)</f>
        <v>2957</v>
      </c>
      <c r="E230" s="52">
        <f>GETPIVOTDATA("dato",'[1]graficas evolución mensual'!$A$279,"mes",9,"año",2010)</f>
        <v>0</v>
      </c>
      <c r="F230" s="187">
        <f t="shared" si="12"/>
        <v>-0.2700567761046655</v>
      </c>
      <c r="G230" s="187"/>
    </row>
    <row r="231" spans="2:7">
      <c r="B231" s="186" t="s">
        <v>39</v>
      </c>
      <c r="C231" s="52">
        <f>GETPIVOTDATA("dato",'[1]graficas evolución mensual'!$A$279,"mes",10,"año",2008)</f>
        <v>9828</v>
      </c>
      <c r="D231" s="52">
        <f>GETPIVOTDATA("dato",'[1]graficas evolución mensual'!$A$279,"mes",10,"año",2009)</f>
        <v>3864</v>
      </c>
      <c r="E231" s="52">
        <f>GETPIVOTDATA("dato",'[1]graficas evolución mensual'!$A$279,"mes",10,"año",2010)</f>
        <v>0</v>
      </c>
      <c r="F231" s="187">
        <f t="shared" si="12"/>
        <v>-0.6068376068376069</v>
      </c>
      <c r="G231" s="187"/>
    </row>
    <row r="232" spans="2:7">
      <c r="B232" s="186" t="s">
        <v>38</v>
      </c>
      <c r="C232" s="52">
        <f>GETPIVOTDATA("dato",'[1]graficas evolución mensual'!$A$279,"mes",11,"año",2008)</f>
        <v>3958</v>
      </c>
      <c r="D232" s="52">
        <f>GETPIVOTDATA("dato",'[1]graficas evolución mensual'!$A$279,"mes",11,"año",2009)</f>
        <v>2776</v>
      </c>
      <c r="E232" s="52">
        <f>GETPIVOTDATA("dato",'[1]graficas evolución mensual'!$A$279,"mes",11,"año",2010)</f>
        <v>0</v>
      </c>
      <c r="F232" s="187">
        <f t="shared" si="12"/>
        <v>-0.29863567458312279</v>
      </c>
      <c r="G232" s="187"/>
    </row>
    <row r="233" spans="2:7">
      <c r="B233" s="186" t="s">
        <v>37</v>
      </c>
      <c r="C233" s="52">
        <f>GETPIVOTDATA("dato",'[1]graficas evolución mensual'!$A$279,"mes",12,"año",2008)</f>
        <v>3355</v>
      </c>
      <c r="D233" s="52">
        <f>GETPIVOTDATA("dato",'[1]graficas evolución mensual'!$A$279,"mes",12,"año",2009)</f>
        <v>2697</v>
      </c>
      <c r="E233" s="52">
        <f>GETPIVOTDATA("dato",'[1]graficas evolución mensual'!$A$279,"mes",12,"año",2010)</f>
        <v>0</v>
      </c>
      <c r="F233" s="187">
        <f t="shared" si="12"/>
        <v>-0.19612518628912068</v>
      </c>
      <c r="G233" s="187"/>
    </row>
    <row r="234" spans="2:7">
      <c r="B234" s="188" t="s">
        <v>93</v>
      </c>
      <c r="C234" s="82">
        <f>SUM(C222:C233)</f>
        <v>58680</v>
      </c>
      <c r="D234" s="82">
        <f>SUM(D222:D233)</f>
        <v>39786</v>
      </c>
      <c r="E234" s="82">
        <f>SUM(E222:E233)</f>
        <v>27631</v>
      </c>
      <c r="F234" s="189">
        <f t="shared" si="12"/>
        <v>-0.32198364008179958</v>
      </c>
      <c r="G234" s="189"/>
    </row>
    <row r="235" spans="2:7" ht="22.5" customHeight="1">
      <c r="B235" s="190" t="s">
        <v>141</v>
      </c>
      <c r="C235" s="191"/>
      <c r="D235" s="191"/>
      <c r="E235" s="191"/>
      <c r="F235" s="191"/>
      <c r="G235" s="192"/>
    </row>
    <row r="236" spans="2:7" ht="7.5" customHeight="1"/>
    <row r="237" spans="2:7" ht="7.5" customHeight="1"/>
    <row r="238" spans="2:7" ht="46.5" customHeight="1">
      <c r="B238" s="181" t="s">
        <v>154</v>
      </c>
      <c r="C238" s="182"/>
      <c r="D238" s="182"/>
      <c r="E238" s="182"/>
      <c r="F238" s="182"/>
      <c r="G238" s="183"/>
    </row>
    <row r="239" spans="2:7">
      <c r="B239" s="86"/>
      <c r="C239" s="86">
        <v>2008</v>
      </c>
      <c r="D239" s="86">
        <v>2009</v>
      </c>
      <c r="E239" s="86">
        <v>2010</v>
      </c>
      <c r="F239" s="86" t="s">
        <v>139</v>
      </c>
      <c r="G239" s="86" t="s">
        <v>140</v>
      </c>
    </row>
    <row r="240" spans="2:7">
      <c r="B240" s="184" t="s">
        <v>48</v>
      </c>
      <c r="C240" s="79">
        <f>GETPIVOTDATA("dato",'[1]graficas evolución mensual'!$A$258,"mes",1,"año",2008)</f>
        <v>3428</v>
      </c>
      <c r="D240" s="79">
        <f>GETPIVOTDATA("dato",'[1]graficas evolución mensual'!$A$258,"mes",1,"año",2009)</f>
        <v>4025</v>
      </c>
      <c r="E240" s="79">
        <f>GETPIVOTDATA("dato",'[1]graficas evolución mensual'!$A$258,"mes",1,"año",2010)</f>
        <v>3312</v>
      </c>
      <c r="F240" s="185">
        <f>D240/C240-1</f>
        <v>0.17415402567094507</v>
      </c>
      <c r="G240" s="185">
        <f>E240/D240-1</f>
        <v>-0.17714285714285716</v>
      </c>
    </row>
    <row r="241" spans="2:7">
      <c r="B241" s="186" t="s">
        <v>47</v>
      </c>
      <c r="C241" s="52">
        <f>GETPIVOTDATA("dato",'[1]graficas evolución mensual'!$A$258,"mes",2,"año",2008)</f>
        <v>3473</v>
      </c>
      <c r="D241" s="52">
        <f>GETPIVOTDATA("dato",'[1]graficas evolución mensual'!$A$258,"mes",2,"año",2009)</f>
        <v>3598</v>
      </c>
      <c r="E241" s="52">
        <f>GETPIVOTDATA("dato",'[1]graficas evolución mensual'!$A$258,"mes",2,"año",2010)</f>
        <v>3257</v>
      </c>
      <c r="F241" s="187">
        <f t="shared" ref="F241:G252" si="13">D241/C241-1</f>
        <v>3.5991937805931462E-2</v>
      </c>
      <c r="G241" s="187">
        <f t="shared" si="13"/>
        <v>-9.477487493051695E-2</v>
      </c>
    </row>
    <row r="242" spans="2:7">
      <c r="B242" s="186" t="s">
        <v>46</v>
      </c>
      <c r="C242" s="52">
        <f>GETPIVOTDATA("dato",'[1]graficas evolución mensual'!$A$258,"mes",3,"año",2008)</f>
        <v>3522</v>
      </c>
      <c r="D242" s="52">
        <f>GETPIVOTDATA("dato",'[1]graficas evolución mensual'!$A$258,"mes",3,"año",2009)</f>
        <v>4077</v>
      </c>
      <c r="E242" s="52">
        <f>GETPIVOTDATA("dato",'[1]graficas evolución mensual'!$A$258,"mes",3,"año",2010)</f>
        <v>3511</v>
      </c>
      <c r="F242" s="187">
        <f t="shared" si="13"/>
        <v>0.15758091993185697</v>
      </c>
      <c r="G242" s="187">
        <f t="shared" si="13"/>
        <v>-0.13882756929114548</v>
      </c>
    </row>
    <row r="243" spans="2:7">
      <c r="B243" s="186" t="s">
        <v>45</v>
      </c>
      <c r="C243" s="52">
        <f>GETPIVOTDATA("dato",'[1]graficas evolución mensual'!$A$258,"mes",4,"año",2008)</f>
        <v>3999</v>
      </c>
      <c r="D243" s="52">
        <f>GETPIVOTDATA("dato",'[1]graficas evolución mensual'!$A$258,"mes",4,"año",2009)</f>
        <v>3829</v>
      </c>
      <c r="E243" s="52">
        <f>GETPIVOTDATA("dato",'[1]graficas evolución mensual'!$A$258,"mes",4,"año",2010)</f>
        <v>3486</v>
      </c>
      <c r="F243" s="187">
        <f t="shared" si="13"/>
        <v>-4.2510627656914268E-2</v>
      </c>
      <c r="G243" s="187">
        <f t="shared" si="13"/>
        <v>-8.957952468007313E-2</v>
      </c>
    </row>
    <row r="244" spans="2:7">
      <c r="B244" s="186" t="s">
        <v>44</v>
      </c>
      <c r="C244" s="52">
        <f>GETPIVOTDATA("dato",'[1]graficas evolución mensual'!$A$258,"mes",5,"año",2008)</f>
        <v>6721</v>
      </c>
      <c r="D244" s="52">
        <f>GETPIVOTDATA("dato",'[1]graficas evolución mensual'!$A$258,"mes",5,"año",2009)</f>
        <v>3323</v>
      </c>
      <c r="E244" s="52">
        <f>GETPIVOTDATA("dato",'[1]graficas evolución mensual'!$A$258,"mes",5,"año",2010)</f>
        <v>2644</v>
      </c>
      <c r="F244" s="187">
        <f t="shared" si="13"/>
        <v>-0.50557952685612262</v>
      </c>
      <c r="G244" s="187">
        <f t="shared" si="13"/>
        <v>-0.20433343364429735</v>
      </c>
    </row>
    <row r="245" spans="2:7">
      <c r="B245" s="186" t="s">
        <v>43</v>
      </c>
      <c r="C245" s="52">
        <f>GETPIVOTDATA("dato",'[1]graficas evolución mensual'!$A$258,"mes",6,"año",2008)</f>
        <v>2542</v>
      </c>
      <c r="D245" s="52">
        <f>GETPIVOTDATA("dato",'[1]graficas evolución mensual'!$A$258,"mes",6,"año",2009)</f>
        <v>5799</v>
      </c>
      <c r="E245" s="52">
        <f>GETPIVOTDATA("dato",'[1]graficas evolución mensual'!$A$258,"mes",6,"año",2010)</f>
        <v>4831</v>
      </c>
      <c r="F245" s="187">
        <f t="shared" si="13"/>
        <v>1.2812745869394178</v>
      </c>
      <c r="G245" s="187">
        <f t="shared" si="13"/>
        <v>-0.16692533195378512</v>
      </c>
    </row>
    <row r="246" spans="2:7">
      <c r="B246" s="186" t="s">
        <v>42</v>
      </c>
      <c r="C246" s="52">
        <f>GETPIVOTDATA("dato",'[1]graficas evolución mensual'!$A$258,"mes",7,"año",2008)</f>
        <v>3744</v>
      </c>
      <c r="D246" s="52">
        <f>GETPIVOTDATA("dato",'[1]graficas evolución mensual'!$A$258,"mes",7,"año",2009)</f>
        <v>5031</v>
      </c>
      <c r="E246" s="52">
        <f>GETPIVOTDATA("dato",'[1]graficas evolución mensual'!$A$258,"mes",7,"año",2010)</f>
        <v>5723</v>
      </c>
      <c r="F246" s="187">
        <f t="shared" si="13"/>
        <v>0.34375</v>
      </c>
      <c r="G246" s="187">
        <f t="shared" si="13"/>
        <v>0.13754720731464909</v>
      </c>
    </row>
    <row r="247" spans="2:7">
      <c r="B247" s="186" t="s">
        <v>41</v>
      </c>
      <c r="C247" s="52">
        <f>GETPIVOTDATA("dato",'[1]graficas evolución mensual'!$A$258,"mes",8,"año",2008)</f>
        <v>3640</v>
      </c>
      <c r="D247" s="52">
        <f>GETPIVOTDATA("dato",'[1]graficas evolución mensual'!$A$258,"mes",8,"año",2009)</f>
        <v>3594</v>
      </c>
      <c r="E247" s="52">
        <f>GETPIVOTDATA("dato",'[1]graficas evolución mensual'!$A$258,"mes",8,"año",2010)</f>
        <v>0</v>
      </c>
      <c r="F247" s="187">
        <f t="shared" si="13"/>
        <v>-1.2637362637362592E-2</v>
      </c>
      <c r="G247" s="187"/>
    </row>
    <row r="248" spans="2:7">
      <c r="B248" s="186" t="s">
        <v>40</v>
      </c>
      <c r="C248" s="52">
        <f>GETPIVOTDATA("dato",'[1]graficas evolución mensual'!$A$258,"mes",9,"año",2008)</f>
        <v>4541</v>
      </c>
      <c r="D248" s="52">
        <f>GETPIVOTDATA("dato",'[1]graficas evolución mensual'!$A$258,"mes",9,"año",2009)</f>
        <v>4480</v>
      </c>
      <c r="E248" s="52">
        <f>GETPIVOTDATA("dato",'[1]graficas evolución mensual'!$A$258,"mes",9,"año",2010)</f>
        <v>0</v>
      </c>
      <c r="F248" s="187">
        <f t="shared" si="13"/>
        <v>-1.3433164501211237E-2</v>
      </c>
      <c r="G248" s="187"/>
    </row>
    <row r="249" spans="2:7">
      <c r="B249" s="186" t="s">
        <v>39</v>
      </c>
      <c r="C249" s="52">
        <f>GETPIVOTDATA("dato",'[1]graficas evolución mensual'!$A$258,"mes",10,"año",2008)</f>
        <v>2997</v>
      </c>
      <c r="D249" s="52">
        <f>GETPIVOTDATA("dato",'[1]graficas evolución mensual'!$A$258,"mes",10,"año",2009)</f>
        <v>4071</v>
      </c>
      <c r="E249" s="52">
        <f>GETPIVOTDATA("dato",'[1]graficas evolución mensual'!$A$258,"mes",10,"año",2010)</f>
        <v>0</v>
      </c>
      <c r="F249" s="187">
        <f t="shared" si="13"/>
        <v>0.35835835835835828</v>
      </c>
      <c r="G249" s="187"/>
    </row>
    <row r="250" spans="2:7">
      <c r="B250" s="186" t="s">
        <v>38</v>
      </c>
      <c r="C250" s="52">
        <f>GETPIVOTDATA("dato",'[1]graficas evolución mensual'!$A$258,"mes",11,"año",2008)</f>
        <v>3224</v>
      </c>
      <c r="D250" s="52">
        <f>GETPIVOTDATA("dato",'[1]graficas evolución mensual'!$A$258,"mes",11,"año",2009)</f>
        <v>2865</v>
      </c>
      <c r="E250" s="52">
        <f>GETPIVOTDATA("dato",'[1]graficas evolución mensual'!$A$258,"mes",11,"año",2010)</f>
        <v>0</v>
      </c>
      <c r="F250" s="187">
        <f t="shared" si="13"/>
        <v>-0.11135235732009929</v>
      </c>
      <c r="G250" s="187"/>
    </row>
    <row r="251" spans="2:7">
      <c r="B251" s="186" t="s">
        <v>37</v>
      </c>
      <c r="C251" s="52">
        <f>GETPIVOTDATA("dato",'[1]graficas evolución mensual'!$A$258,"mes",12,"año",2008)</f>
        <v>3012</v>
      </c>
      <c r="D251" s="52">
        <f>GETPIVOTDATA("dato",'[1]graficas evolución mensual'!$A$258,"mes",12,"año",2009)</f>
        <v>3498</v>
      </c>
      <c r="E251" s="52">
        <f>GETPIVOTDATA("dato",'[1]graficas evolución mensual'!$A$258,"mes",12,"año",2010)</f>
        <v>0</v>
      </c>
      <c r="F251" s="187">
        <f t="shared" si="13"/>
        <v>0.16135458167330685</v>
      </c>
      <c r="G251" s="187"/>
    </row>
    <row r="252" spans="2:7">
      <c r="B252" s="188" t="s">
        <v>93</v>
      </c>
      <c r="C252" s="82">
        <f>SUM(C240:C251)</f>
        <v>44843</v>
      </c>
      <c r="D252" s="82">
        <f>SUM(D240:D251)</f>
        <v>48190</v>
      </c>
      <c r="E252" s="82">
        <f>SUM(E240:E251)</f>
        <v>26764</v>
      </c>
      <c r="F252" s="189">
        <f t="shared" si="13"/>
        <v>7.463818210200035E-2</v>
      </c>
      <c r="G252" s="189"/>
    </row>
    <row r="253" spans="2:7" ht="23.25" customHeight="1">
      <c r="B253" s="190" t="s">
        <v>141</v>
      </c>
      <c r="C253" s="191"/>
      <c r="D253" s="191"/>
      <c r="E253" s="191"/>
      <c r="F253" s="191"/>
      <c r="G253" s="192"/>
    </row>
    <row r="254" spans="2:7" ht="6.75" customHeight="1"/>
    <row r="255" spans="2:7" ht="7.5" customHeight="1"/>
    <row r="256" spans="2:7" ht="46.5" customHeight="1">
      <c r="B256" s="181" t="s">
        <v>155</v>
      </c>
      <c r="C256" s="182"/>
      <c r="D256" s="182"/>
      <c r="E256" s="182"/>
      <c r="F256" s="182"/>
      <c r="G256" s="183"/>
    </row>
    <row r="257" spans="2:7">
      <c r="B257" s="86"/>
      <c r="C257" s="86">
        <v>2008</v>
      </c>
      <c r="D257" s="86">
        <v>2009</v>
      </c>
      <c r="E257" s="86">
        <v>2010</v>
      </c>
      <c r="F257" s="86" t="s">
        <v>139</v>
      </c>
      <c r="G257" s="86" t="s">
        <v>140</v>
      </c>
    </row>
    <row r="258" spans="2:7">
      <c r="B258" s="184" t="s">
        <v>48</v>
      </c>
      <c r="C258" s="79">
        <f>GETPIVOTDATA("dato",'[1]graficas evolución mensual'!$A$216,"mes",1,"año",2008)</f>
        <v>2498</v>
      </c>
      <c r="D258" s="79">
        <f>GETPIVOTDATA("dato",'[1]graficas evolución mensual'!$A$216,"mes",1,"año",2009)</f>
        <v>3886</v>
      </c>
      <c r="E258" s="79">
        <f>GETPIVOTDATA("dato",'[1]graficas evolución mensual'!$A$216,"mes",1,"año",2010)</f>
        <v>2494</v>
      </c>
      <c r="F258" s="185">
        <f>D258/C258-1</f>
        <v>0.55564451561249006</v>
      </c>
      <c r="G258" s="185">
        <f>E258/D258-1</f>
        <v>-0.35820895522388063</v>
      </c>
    </row>
    <row r="259" spans="2:7">
      <c r="B259" s="186" t="s">
        <v>47</v>
      </c>
      <c r="C259" s="52">
        <f>GETPIVOTDATA("dato",'[1]graficas evolución mensual'!$A$216,"mes",2,"año",2008)</f>
        <v>2353</v>
      </c>
      <c r="D259" s="52">
        <f>GETPIVOTDATA("dato",'[1]graficas evolución mensual'!$A$216,"mes",2,"año",2009)</f>
        <v>3808</v>
      </c>
      <c r="E259" s="52">
        <f>GETPIVOTDATA("dato",'[1]graficas evolución mensual'!$A$216,"mes",2,"año",2010)</f>
        <v>2203</v>
      </c>
      <c r="F259" s="187">
        <f t="shared" ref="F259:G270" si="14">D259/C259-1</f>
        <v>0.61835954101147461</v>
      </c>
      <c r="G259" s="187">
        <f t="shared" si="14"/>
        <v>-0.42148109243697474</v>
      </c>
    </row>
    <row r="260" spans="2:7">
      <c r="B260" s="186" t="s">
        <v>46</v>
      </c>
      <c r="C260" s="52">
        <f>GETPIVOTDATA("dato",'[1]graficas evolución mensual'!$A$216,"mes",3,"año",2008)</f>
        <v>2997</v>
      </c>
      <c r="D260" s="52">
        <f>GETPIVOTDATA("dato",'[1]graficas evolución mensual'!$A$216,"mes",3,"año",2009)</f>
        <v>3595</v>
      </c>
      <c r="E260" s="52">
        <f>GETPIVOTDATA("dato",'[1]graficas evolución mensual'!$A$216,"mes",3,"año",2010)</f>
        <v>2462</v>
      </c>
      <c r="F260" s="187">
        <f t="shared" si="14"/>
        <v>0.19953286619953281</v>
      </c>
      <c r="G260" s="187">
        <f t="shared" si="14"/>
        <v>-0.31515994436717665</v>
      </c>
    </row>
    <row r="261" spans="2:7">
      <c r="B261" s="186" t="s">
        <v>45</v>
      </c>
      <c r="C261" s="52">
        <f>GETPIVOTDATA("dato",'[1]graficas evolución mensual'!$A$216,"mes",4,"año",2008)</f>
        <v>2242</v>
      </c>
      <c r="D261" s="52">
        <f>GETPIVOTDATA("dato",'[1]graficas evolución mensual'!$A$216,"mes",4,"año",2009)</f>
        <v>3057</v>
      </c>
      <c r="E261" s="52">
        <f>GETPIVOTDATA("dato",'[1]graficas evolución mensual'!$A$216,"mes",4,"año",2010)</f>
        <v>2322</v>
      </c>
      <c r="F261" s="187">
        <f t="shared" si="14"/>
        <v>0.36351471900089205</v>
      </c>
      <c r="G261" s="187">
        <f t="shared" si="14"/>
        <v>-0.24043179587831209</v>
      </c>
    </row>
    <row r="262" spans="2:7">
      <c r="B262" s="186" t="s">
        <v>44</v>
      </c>
      <c r="C262" s="52">
        <f>GETPIVOTDATA("dato",'[1]graficas evolución mensual'!$A$216,"mes",5,"año",2008)</f>
        <v>2596</v>
      </c>
      <c r="D262" s="52">
        <f>GETPIVOTDATA("dato",'[1]graficas evolución mensual'!$A$216,"mes",5,"año",2009)</f>
        <v>2860</v>
      </c>
      <c r="E262" s="52">
        <f>GETPIVOTDATA("dato",'[1]graficas evolución mensual'!$A$216,"mes",5,"año",2010)</f>
        <v>2071</v>
      </c>
      <c r="F262" s="187">
        <f t="shared" si="14"/>
        <v>0.10169491525423724</v>
      </c>
      <c r="G262" s="187">
        <f t="shared" si="14"/>
        <v>-0.27587412587412585</v>
      </c>
    </row>
    <row r="263" spans="2:7">
      <c r="B263" s="186" t="s">
        <v>43</v>
      </c>
      <c r="C263" s="52">
        <f>GETPIVOTDATA("dato",'[1]graficas evolución mensual'!$A$216,"mes",6,"año",2008)</f>
        <v>3094</v>
      </c>
      <c r="D263" s="52">
        <f>GETPIVOTDATA("dato",'[1]graficas evolución mensual'!$A$216,"mes",6,"año",2009)</f>
        <v>2225</v>
      </c>
      <c r="E263" s="52">
        <f>GETPIVOTDATA("dato",'[1]graficas evolución mensual'!$A$216,"mes",6,"año",2010)</f>
        <v>1965</v>
      </c>
      <c r="F263" s="187">
        <f t="shared" si="14"/>
        <v>-0.28086619263089851</v>
      </c>
      <c r="G263" s="187">
        <f t="shared" si="14"/>
        <v>-0.11685393258426968</v>
      </c>
    </row>
    <row r="264" spans="2:7">
      <c r="B264" s="186" t="s">
        <v>42</v>
      </c>
      <c r="C264" s="52">
        <f>GETPIVOTDATA("dato",'[1]graficas evolución mensual'!$A$216,"mes",7,"año",2008)</f>
        <v>2754</v>
      </c>
      <c r="D264" s="52">
        <f>GETPIVOTDATA("dato",'[1]graficas evolución mensual'!$A$216,"mes",7,"año",2009)</f>
        <v>2273</v>
      </c>
      <c r="E264" s="52">
        <f>GETPIVOTDATA("dato",'[1]graficas evolución mensual'!$A$216,"mes",7,"año",2010)</f>
        <v>2146</v>
      </c>
      <c r="F264" s="187">
        <f t="shared" si="14"/>
        <v>-0.17465504720406677</v>
      </c>
      <c r="G264" s="187">
        <f t="shared" si="14"/>
        <v>-5.5873295204575402E-2</v>
      </c>
    </row>
    <row r="265" spans="2:7">
      <c r="B265" s="186" t="s">
        <v>41</v>
      </c>
      <c r="C265" s="52">
        <f>GETPIVOTDATA("dato",'[1]graficas evolución mensual'!$A$216,"mes",8,"año",2008)</f>
        <v>3108</v>
      </c>
      <c r="D265" s="52">
        <f>GETPIVOTDATA("dato",'[1]graficas evolución mensual'!$A$216,"mes",8,"año",2009)</f>
        <v>2501</v>
      </c>
      <c r="E265" s="52">
        <f>GETPIVOTDATA("dato",'[1]graficas evolución mensual'!$A$216,"mes",8,"año",2010)</f>
        <v>0</v>
      </c>
      <c r="F265" s="187">
        <f t="shared" si="14"/>
        <v>-0.19530244530244534</v>
      </c>
      <c r="G265" s="187"/>
    </row>
    <row r="266" spans="2:7">
      <c r="B266" s="186" t="s">
        <v>40</v>
      </c>
      <c r="C266" s="52">
        <f>GETPIVOTDATA("dato",'[1]graficas evolución mensual'!$A$216,"mes",9,"año",2008)</f>
        <v>3273</v>
      </c>
      <c r="D266" s="52">
        <f>GETPIVOTDATA("dato",'[1]graficas evolución mensual'!$A$216,"mes",9,"año",2009)</f>
        <v>1822</v>
      </c>
      <c r="E266" s="52">
        <f>GETPIVOTDATA("dato",'[1]graficas evolución mensual'!$A$216,"mes",9,"año",2010)</f>
        <v>0</v>
      </c>
      <c r="F266" s="187">
        <f t="shared" si="14"/>
        <v>-0.44332416743049186</v>
      </c>
      <c r="G266" s="187"/>
    </row>
    <row r="267" spans="2:7">
      <c r="B267" s="186" t="s">
        <v>39</v>
      </c>
      <c r="C267" s="52">
        <f>GETPIVOTDATA("dato",'[1]graficas evolución mensual'!$A$216,"mes",10,"año",2008)</f>
        <v>3439</v>
      </c>
      <c r="D267" s="52">
        <f>GETPIVOTDATA("dato",'[1]graficas evolución mensual'!$A$216,"mes",10,"año",2009)</f>
        <v>1989</v>
      </c>
      <c r="E267" s="52">
        <f>GETPIVOTDATA("dato",'[1]graficas evolución mensual'!$A$216,"mes",10,"año",2010)</f>
        <v>0</v>
      </c>
      <c r="F267" s="187">
        <f t="shared" si="14"/>
        <v>-0.42163419598720553</v>
      </c>
      <c r="G267" s="187"/>
    </row>
    <row r="268" spans="2:7">
      <c r="B268" s="186" t="s">
        <v>38</v>
      </c>
      <c r="C268" s="52">
        <f>GETPIVOTDATA("dato",'[1]graficas evolución mensual'!$A$216,"mes",11,"año",2008)</f>
        <v>2576</v>
      </c>
      <c r="D268" s="52">
        <f>GETPIVOTDATA("dato",'[1]graficas evolución mensual'!$A$216,"mes",11,"año",2009)</f>
        <v>2361</v>
      </c>
      <c r="E268" s="52">
        <f>GETPIVOTDATA("dato",'[1]graficas evolución mensual'!$A$216,"mes",11,"año",2010)</f>
        <v>0</v>
      </c>
      <c r="F268" s="187">
        <f t="shared" si="14"/>
        <v>-8.3462732919254656E-2</v>
      </c>
      <c r="G268" s="187"/>
    </row>
    <row r="269" spans="2:7">
      <c r="B269" s="186" t="s">
        <v>37</v>
      </c>
      <c r="C269" s="52">
        <f>GETPIVOTDATA("dato",'[1]graficas evolución mensual'!$A$216,"mes",12,"año",2008)</f>
        <v>2167</v>
      </c>
      <c r="D269" s="52">
        <f>GETPIVOTDATA("dato",'[1]graficas evolución mensual'!$A$216,"mes",12,"año",2009)</f>
        <v>1884</v>
      </c>
      <c r="E269" s="52">
        <f>GETPIVOTDATA("dato",'[1]graficas evolución mensual'!$A$216,"mes",12,"año",2010)</f>
        <v>0</v>
      </c>
      <c r="F269" s="187">
        <f t="shared" si="14"/>
        <v>-0.13059529303184125</v>
      </c>
      <c r="G269" s="187"/>
    </row>
    <row r="270" spans="2:7">
      <c r="B270" s="188" t="s">
        <v>93</v>
      </c>
      <c r="C270" s="82">
        <f>SUM(C258:C269)</f>
        <v>33097</v>
      </c>
      <c r="D270" s="82">
        <f>SUM(D258:D269)</f>
        <v>32261</v>
      </c>
      <c r="E270" s="82">
        <f>SUM(E258:E269)</f>
        <v>15663</v>
      </c>
      <c r="F270" s="189">
        <f t="shared" si="14"/>
        <v>-2.5259086926307517E-2</v>
      </c>
      <c r="G270" s="189"/>
    </row>
    <row r="271" spans="2:7" ht="21.75" customHeight="1">
      <c r="B271" s="190" t="s">
        <v>141</v>
      </c>
      <c r="C271" s="191"/>
      <c r="D271" s="191"/>
      <c r="E271" s="191"/>
      <c r="F271" s="191"/>
      <c r="G271" s="192"/>
    </row>
    <row r="272" spans="2:7" ht="4.5" customHeight="1"/>
    <row r="273" spans="2:7" ht="7.5" customHeight="1"/>
    <row r="274" spans="2:7" ht="45" customHeight="1">
      <c r="B274" s="181" t="s">
        <v>156</v>
      </c>
      <c r="C274" s="182"/>
      <c r="D274" s="182"/>
      <c r="E274" s="182"/>
      <c r="F274" s="182"/>
      <c r="G274" s="183"/>
    </row>
    <row r="275" spans="2:7">
      <c r="B275" s="86"/>
      <c r="C275" s="86">
        <v>2008</v>
      </c>
      <c r="D275" s="86">
        <v>2009</v>
      </c>
      <c r="E275" s="86">
        <v>2010</v>
      </c>
      <c r="F275" s="86" t="s">
        <v>139</v>
      </c>
      <c r="G275" s="86" t="s">
        <v>140</v>
      </c>
    </row>
    <row r="276" spans="2:7">
      <c r="B276" s="184" t="s">
        <v>48</v>
      </c>
      <c r="C276" s="79">
        <f>GETPIVOTDATA("dato",'[1]graficas evolución mensual'!$A$299,"mes",1,"año",2008)</f>
        <v>598</v>
      </c>
      <c r="D276" s="79">
        <f>GETPIVOTDATA("dato",'[1]graficas evolución mensual'!$A$299,"mes",1,"año",2009)</f>
        <v>848</v>
      </c>
      <c r="E276" s="79">
        <f>GETPIVOTDATA("dato",'[1]graficas evolución mensual'!$A$299,"mes",1,"año",2010)</f>
        <v>945</v>
      </c>
      <c r="F276" s="185">
        <f>D276/C276-1</f>
        <v>0.41806020066889626</v>
      </c>
      <c r="G276" s="185">
        <f>E276/D276-1</f>
        <v>0.11438679245283012</v>
      </c>
    </row>
    <row r="277" spans="2:7">
      <c r="B277" s="186" t="s">
        <v>47</v>
      </c>
      <c r="C277" s="52">
        <f>GETPIVOTDATA("dato",'[1]graficas evolución mensual'!$A$299,"mes",2,"año",2008)</f>
        <v>783</v>
      </c>
      <c r="D277" s="52">
        <f>GETPIVOTDATA("dato",'[1]graficas evolución mensual'!$A$299,"mes",2,"año",2009)</f>
        <v>986</v>
      </c>
      <c r="E277" s="52">
        <f>GETPIVOTDATA("dato",'[1]graficas evolución mensual'!$A$299,"mes",2,"año",2010)</f>
        <v>955</v>
      </c>
      <c r="F277" s="187">
        <f t="shared" ref="F277:G288" si="15">D277/C277-1</f>
        <v>0.2592592592592593</v>
      </c>
      <c r="G277" s="187">
        <f t="shared" si="15"/>
        <v>-3.1440162271805239E-2</v>
      </c>
    </row>
    <row r="278" spans="2:7">
      <c r="B278" s="186" t="s">
        <v>46</v>
      </c>
      <c r="C278" s="52">
        <f>GETPIVOTDATA("dato",'[1]graficas evolución mensual'!$A$299,"mes",3,"año",2008)</f>
        <v>786</v>
      </c>
      <c r="D278" s="52">
        <f>GETPIVOTDATA("dato",'[1]graficas evolución mensual'!$A$299,"mes",3,"año",2009)</f>
        <v>1061</v>
      </c>
      <c r="E278" s="52">
        <f>GETPIVOTDATA("dato",'[1]graficas evolución mensual'!$A$299,"mes",3,"año",2010)</f>
        <v>1118</v>
      </c>
      <c r="F278" s="187">
        <f t="shared" si="15"/>
        <v>0.34987277353689561</v>
      </c>
      <c r="G278" s="187">
        <f t="shared" si="15"/>
        <v>5.3722902921771842E-2</v>
      </c>
    </row>
    <row r="279" spans="2:7">
      <c r="B279" s="186" t="s">
        <v>45</v>
      </c>
      <c r="C279" s="52">
        <f>GETPIVOTDATA("dato",'[1]graficas evolución mensual'!$A$299,"mes",4,"año",2008)</f>
        <v>947</v>
      </c>
      <c r="D279" s="52">
        <f>GETPIVOTDATA("dato",'[1]graficas evolución mensual'!$A$299,"mes",4,"año",2009)</f>
        <v>1061</v>
      </c>
      <c r="E279" s="52">
        <f>GETPIVOTDATA("dato",'[1]graficas evolución mensual'!$A$299,"mes",4,"año",2010)</f>
        <v>1166</v>
      </c>
      <c r="F279" s="187">
        <f t="shared" si="15"/>
        <v>0.12038014783526929</v>
      </c>
      <c r="G279" s="187">
        <f t="shared" si="15"/>
        <v>9.8963242224316739E-2</v>
      </c>
    </row>
    <row r="280" spans="2:7">
      <c r="B280" s="186" t="s">
        <v>44</v>
      </c>
      <c r="C280" s="52">
        <f>GETPIVOTDATA("dato",'[1]graficas evolución mensual'!$A$299,"mes",5,"año",2008)</f>
        <v>1062</v>
      </c>
      <c r="D280" s="52">
        <f>GETPIVOTDATA("dato",'[1]graficas evolución mensual'!$A$299,"mes",5,"año",2009)</f>
        <v>917</v>
      </c>
      <c r="E280" s="52">
        <f>GETPIVOTDATA("dato",'[1]graficas evolución mensual'!$A$299,"mes",5,"año",2010)</f>
        <v>930</v>
      </c>
      <c r="F280" s="187">
        <f t="shared" si="15"/>
        <v>-0.13653483992467041</v>
      </c>
      <c r="G280" s="187">
        <f t="shared" si="15"/>
        <v>1.4176663031624903E-2</v>
      </c>
    </row>
    <row r="281" spans="2:7">
      <c r="B281" s="186" t="s">
        <v>43</v>
      </c>
      <c r="C281" s="52">
        <f>GETPIVOTDATA("dato",'[1]graficas evolución mensual'!$A$299,"mes",6,"año",2008)</f>
        <v>891</v>
      </c>
      <c r="D281" s="52">
        <f>GETPIVOTDATA("dato",'[1]graficas evolución mensual'!$A$299,"mes",6,"año",2009)</f>
        <v>1063</v>
      </c>
      <c r="E281" s="52">
        <f>GETPIVOTDATA("dato",'[1]graficas evolución mensual'!$A$299,"mes",6,"año",2010)</f>
        <v>806</v>
      </c>
      <c r="F281" s="187">
        <f t="shared" si="15"/>
        <v>0.19304152637485972</v>
      </c>
      <c r="G281" s="187">
        <f t="shared" si="15"/>
        <v>-0.24176857949200381</v>
      </c>
    </row>
    <row r="282" spans="2:7">
      <c r="B282" s="186" t="s">
        <v>42</v>
      </c>
      <c r="C282" s="52">
        <f>GETPIVOTDATA("dato",'[1]graficas evolución mensual'!$A$299,"mes",7,"año",2008)</f>
        <v>1254</v>
      </c>
      <c r="D282" s="52">
        <f>GETPIVOTDATA("dato",'[1]graficas evolución mensual'!$A$299,"mes",7,"año",2009)</f>
        <v>1453</v>
      </c>
      <c r="E282" s="52">
        <f>GETPIVOTDATA("dato",'[1]graficas evolución mensual'!$A$299,"mes",7,"año",2010)</f>
        <v>1418</v>
      </c>
      <c r="F282" s="187">
        <f t="shared" si="15"/>
        <v>0.15869218500797455</v>
      </c>
      <c r="G282" s="187">
        <f t="shared" si="15"/>
        <v>-2.4088093599449412E-2</v>
      </c>
    </row>
    <row r="283" spans="2:7">
      <c r="B283" s="186" t="s">
        <v>41</v>
      </c>
      <c r="C283" s="52">
        <f>GETPIVOTDATA("dato",'[1]graficas evolución mensual'!$A$299,"mes",8,"año",2008)</f>
        <v>946</v>
      </c>
      <c r="D283" s="52">
        <f>GETPIVOTDATA("dato",'[1]graficas evolución mensual'!$A$299,"mes",8,"año",2009)</f>
        <v>942</v>
      </c>
      <c r="E283" s="52">
        <f>GETPIVOTDATA("dato",'[1]graficas evolución mensual'!$A$299,"mes",8,"año",2010)</f>
        <v>0</v>
      </c>
      <c r="F283" s="187">
        <f t="shared" si="15"/>
        <v>-4.2283298097252064E-3</v>
      </c>
      <c r="G283" s="187"/>
    </row>
    <row r="284" spans="2:7">
      <c r="B284" s="186" t="s">
        <v>40</v>
      </c>
      <c r="C284" s="52">
        <f>GETPIVOTDATA("dato",'[1]graficas evolución mensual'!$A$299,"mes",9,"año",2008)</f>
        <v>1034</v>
      </c>
      <c r="D284" s="52">
        <f>GETPIVOTDATA("dato",'[1]graficas evolución mensual'!$A$299,"mes",9,"año",2009)</f>
        <v>1069</v>
      </c>
      <c r="E284" s="52">
        <f>GETPIVOTDATA("dato",'[1]graficas evolución mensual'!$A$299,"mes",9,"año",2010)</f>
        <v>0</v>
      </c>
      <c r="F284" s="187">
        <f t="shared" si="15"/>
        <v>3.3849129593810368E-2</v>
      </c>
      <c r="G284" s="187"/>
    </row>
    <row r="285" spans="2:7">
      <c r="B285" s="186" t="s">
        <v>39</v>
      </c>
      <c r="C285" s="52">
        <f>GETPIVOTDATA("dato",'[1]graficas evolución mensual'!$A$299,"mes",10,"año",2008)</f>
        <v>1210</v>
      </c>
      <c r="D285" s="52">
        <f>GETPIVOTDATA("dato",'[1]graficas evolución mensual'!$A$299,"mes",10,"año",2009)</f>
        <v>1634</v>
      </c>
      <c r="E285" s="52">
        <f>GETPIVOTDATA("dato",'[1]graficas evolución mensual'!$A$299,"mes",10,"año",2010)</f>
        <v>0</v>
      </c>
      <c r="F285" s="187">
        <f t="shared" si="15"/>
        <v>0.35041322314049594</v>
      </c>
      <c r="G285" s="187"/>
    </row>
    <row r="286" spans="2:7">
      <c r="B286" s="186" t="s">
        <v>38</v>
      </c>
      <c r="C286" s="52">
        <f>GETPIVOTDATA("dato",'[1]graficas evolución mensual'!$A$299,"mes",11,"año",2008)</f>
        <v>1216</v>
      </c>
      <c r="D286" s="52">
        <f>GETPIVOTDATA("dato",'[1]graficas evolución mensual'!$A$299,"mes",11,"año",2009)</f>
        <v>1209</v>
      </c>
      <c r="E286" s="52">
        <f>GETPIVOTDATA("dato",'[1]graficas evolución mensual'!$A$299,"mes",11,"año",2010)</f>
        <v>0</v>
      </c>
      <c r="F286" s="187">
        <f t="shared" si="15"/>
        <v>-5.7565789473684736E-3</v>
      </c>
      <c r="G286" s="187"/>
    </row>
    <row r="287" spans="2:7">
      <c r="B287" s="186" t="s">
        <v>37</v>
      </c>
      <c r="C287" s="52">
        <f>GETPIVOTDATA("dato",'[1]graficas evolución mensual'!$A$299,"mes",12,"año",2008)</f>
        <v>846</v>
      </c>
      <c r="D287" s="52">
        <f>GETPIVOTDATA("dato",'[1]graficas evolución mensual'!$A$299,"mes",12,"año",2009)</f>
        <v>877</v>
      </c>
      <c r="E287" s="52">
        <f>GETPIVOTDATA("dato",'[1]graficas evolución mensual'!$A$299,"mes",12,"año",2010)</f>
        <v>0</v>
      </c>
      <c r="F287" s="187">
        <f t="shared" si="15"/>
        <v>3.664302600472813E-2</v>
      </c>
      <c r="G287" s="187"/>
    </row>
    <row r="288" spans="2:7">
      <c r="B288" s="188" t="s">
        <v>93</v>
      </c>
      <c r="C288" s="82">
        <f>SUM(C276:C287)</f>
        <v>11573</v>
      </c>
      <c r="D288" s="82">
        <f>SUM(D276:D287)</f>
        <v>13120</v>
      </c>
      <c r="E288" s="82">
        <f>SUM(E276:E287)</f>
        <v>7338</v>
      </c>
      <c r="F288" s="189">
        <f t="shared" si="15"/>
        <v>0.13367320487341217</v>
      </c>
      <c r="G288" s="189"/>
    </row>
    <row r="289" spans="2:7" ht="22.5" customHeight="1">
      <c r="B289" s="190" t="s">
        <v>141</v>
      </c>
      <c r="C289" s="191"/>
      <c r="D289" s="191"/>
      <c r="E289" s="191"/>
      <c r="F289" s="191"/>
      <c r="G289" s="192"/>
    </row>
  </sheetData>
  <mergeCells count="33">
    <mergeCell ref="B271:G271"/>
    <mergeCell ref="B274:G274"/>
    <mergeCell ref="B289:G289"/>
    <mergeCell ref="B217:G217"/>
    <mergeCell ref="B220:G220"/>
    <mergeCell ref="B235:G235"/>
    <mergeCell ref="B238:G238"/>
    <mergeCell ref="B253:G253"/>
    <mergeCell ref="B256:G256"/>
    <mergeCell ref="B163:G163"/>
    <mergeCell ref="B166:G166"/>
    <mergeCell ref="B181:G181"/>
    <mergeCell ref="B184:G184"/>
    <mergeCell ref="B199:G199"/>
    <mergeCell ref="B202:G202"/>
    <mergeCell ref="B109:G109"/>
    <mergeCell ref="B112:G112"/>
    <mergeCell ref="B127:G127"/>
    <mergeCell ref="B130:G130"/>
    <mergeCell ref="B145:G145"/>
    <mergeCell ref="B148:G148"/>
    <mergeCell ref="B55:G55"/>
    <mergeCell ref="B58:G58"/>
    <mergeCell ref="B73:G73"/>
    <mergeCell ref="B76:G76"/>
    <mergeCell ref="B91:G91"/>
    <mergeCell ref="B94:G94"/>
    <mergeCell ref="B2:N2"/>
    <mergeCell ref="B4:G4"/>
    <mergeCell ref="B19:G19"/>
    <mergeCell ref="B22:G22"/>
    <mergeCell ref="B37:G37"/>
    <mergeCell ref="B40:G4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40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71"/>
  <sheetViews>
    <sheetView showGridLines="0" showRowColHeaders="0" zoomScaleNormal="100" workbookViewId="0">
      <pane xSplit="2" ySplit="6" topLeftCell="AQ7" activePane="bottomRight" state="frozen"/>
      <selection activeCell="B25" sqref="B25"/>
      <selection pane="topRight" activeCell="B25" sqref="B25"/>
      <selection pane="bottomLeft" activeCell="B25" sqref="B25"/>
      <selection pane="bottomRight" activeCell="B25" sqref="B25"/>
    </sheetView>
  </sheetViews>
  <sheetFormatPr baseColWidth="10" defaultRowHeight="15" outlineLevelRow="1"/>
  <cols>
    <col min="1" max="1" width="11.42578125" style="195"/>
    <col min="2" max="2" width="15.5703125" style="195" customWidth="1"/>
    <col min="19" max="20" width="10.28515625" customWidth="1"/>
    <col min="50" max="276" width="11.42578125" style="195"/>
    <col min="277" max="277" width="36.7109375" style="195" customWidth="1"/>
    <col min="278" max="278" width="12.7109375" style="195" customWidth="1"/>
    <col min="279" max="279" width="12.42578125" style="195" customWidth="1"/>
    <col min="280" max="280" width="10.7109375" style="195" customWidth="1"/>
    <col min="281" max="281" width="4.7109375" style="195" customWidth="1"/>
    <col min="282" max="282" width="36.7109375" style="195" customWidth="1"/>
    <col min="283" max="532" width="11.42578125" style="195"/>
    <col min="533" max="533" width="36.7109375" style="195" customWidth="1"/>
    <col min="534" max="534" width="12.7109375" style="195" customWidth="1"/>
    <col min="535" max="535" width="12.42578125" style="195" customWidth="1"/>
    <col min="536" max="536" width="10.7109375" style="195" customWidth="1"/>
    <col min="537" max="537" width="4.7109375" style="195" customWidth="1"/>
    <col min="538" max="538" width="36.7109375" style="195" customWidth="1"/>
    <col min="539" max="788" width="11.42578125" style="195"/>
    <col min="789" max="789" width="36.7109375" style="195" customWidth="1"/>
    <col min="790" max="790" width="12.7109375" style="195" customWidth="1"/>
    <col min="791" max="791" width="12.42578125" style="195" customWidth="1"/>
    <col min="792" max="792" width="10.7109375" style="195" customWidth="1"/>
    <col min="793" max="793" width="4.7109375" style="195" customWidth="1"/>
    <col min="794" max="794" width="36.7109375" style="195" customWidth="1"/>
    <col min="795" max="1044" width="11.42578125" style="195"/>
    <col min="1045" max="1045" width="36.7109375" style="195" customWidth="1"/>
    <col min="1046" max="1046" width="12.7109375" style="195" customWidth="1"/>
    <col min="1047" max="1047" width="12.42578125" style="195" customWidth="1"/>
    <col min="1048" max="1048" width="10.7109375" style="195" customWidth="1"/>
    <col min="1049" max="1049" width="4.7109375" style="195" customWidth="1"/>
    <col min="1050" max="1050" width="36.7109375" style="195" customWidth="1"/>
    <col min="1051" max="1300" width="11.42578125" style="195"/>
    <col min="1301" max="1301" width="36.7109375" style="195" customWidth="1"/>
    <col min="1302" max="1302" width="12.7109375" style="195" customWidth="1"/>
    <col min="1303" max="1303" width="12.42578125" style="195" customWidth="1"/>
    <col min="1304" max="1304" width="10.7109375" style="195" customWidth="1"/>
    <col min="1305" max="1305" width="4.7109375" style="195" customWidth="1"/>
    <col min="1306" max="1306" width="36.7109375" style="195" customWidth="1"/>
    <col min="1307" max="1556" width="11.42578125" style="195"/>
    <col min="1557" max="1557" width="36.7109375" style="195" customWidth="1"/>
    <col min="1558" max="1558" width="12.7109375" style="195" customWidth="1"/>
    <col min="1559" max="1559" width="12.42578125" style="195" customWidth="1"/>
    <col min="1560" max="1560" width="10.7109375" style="195" customWidth="1"/>
    <col min="1561" max="1561" width="4.7109375" style="195" customWidth="1"/>
    <col min="1562" max="1562" width="36.7109375" style="195" customWidth="1"/>
    <col min="1563" max="1812" width="11.42578125" style="195"/>
    <col min="1813" max="1813" width="36.7109375" style="195" customWidth="1"/>
    <col min="1814" max="1814" width="12.7109375" style="195" customWidth="1"/>
    <col min="1815" max="1815" width="12.42578125" style="195" customWidth="1"/>
    <col min="1816" max="1816" width="10.7109375" style="195" customWidth="1"/>
    <col min="1817" max="1817" width="4.7109375" style="195" customWidth="1"/>
    <col min="1818" max="1818" width="36.7109375" style="195" customWidth="1"/>
    <col min="1819" max="2068" width="11.42578125" style="195"/>
    <col min="2069" max="2069" width="36.7109375" style="195" customWidth="1"/>
    <col min="2070" max="2070" width="12.7109375" style="195" customWidth="1"/>
    <col min="2071" max="2071" width="12.42578125" style="195" customWidth="1"/>
    <col min="2072" max="2072" width="10.7109375" style="195" customWidth="1"/>
    <col min="2073" max="2073" width="4.7109375" style="195" customWidth="1"/>
    <col min="2074" max="2074" width="36.7109375" style="195" customWidth="1"/>
    <col min="2075" max="2324" width="11.42578125" style="195"/>
    <col min="2325" max="2325" width="36.7109375" style="195" customWidth="1"/>
    <col min="2326" max="2326" width="12.7109375" style="195" customWidth="1"/>
    <col min="2327" max="2327" width="12.42578125" style="195" customWidth="1"/>
    <col min="2328" max="2328" width="10.7109375" style="195" customWidth="1"/>
    <col min="2329" max="2329" width="4.7109375" style="195" customWidth="1"/>
    <col min="2330" max="2330" width="36.7109375" style="195" customWidth="1"/>
    <col min="2331" max="2580" width="11.42578125" style="195"/>
    <col min="2581" max="2581" width="36.7109375" style="195" customWidth="1"/>
    <col min="2582" max="2582" width="12.7109375" style="195" customWidth="1"/>
    <col min="2583" max="2583" width="12.42578125" style="195" customWidth="1"/>
    <col min="2584" max="2584" width="10.7109375" style="195" customWidth="1"/>
    <col min="2585" max="2585" width="4.7109375" style="195" customWidth="1"/>
    <col min="2586" max="2586" width="36.7109375" style="195" customWidth="1"/>
    <col min="2587" max="2836" width="11.42578125" style="195"/>
    <col min="2837" max="2837" width="36.7109375" style="195" customWidth="1"/>
    <col min="2838" max="2838" width="12.7109375" style="195" customWidth="1"/>
    <col min="2839" max="2839" width="12.42578125" style="195" customWidth="1"/>
    <col min="2840" max="2840" width="10.7109375" style="195" customWidth="1"/>
    <col min="2841" max="2841" width="4.7109375" style="195" customWidth="1"/>
    <col min="2842" max="2842" width="36.7109375" style="195" customWidth="1"/>
    <col min="2843" max="3092" width="11.42578125" style="195"/>
    <col min="3093" max="3093" width="36.7109375" style="195" customWidth="1"/>
    <col min="3094" max="3094" width="12.7109375" style="195" customWidth="1"/>
    <col min="3095" max="3095" width="12.42578125" style="195" customWidth="1"/>
    <col min="3096" max="3096" width="10.7109375" style="195" customWidth="1"/>
    <col min="3097" max="3097" width="4.7109375" style="195" customWidth="1"/>
    <col min="3098" max="3098" width="36.7109375" style="195" customWidth="1"/>
    <col min="3099" max="3348" width="11.42578125" style="195"/>
    <col min="3349" max="3349" width="36.7109375" style="195" customWidth="1"/>
    <col min="3350" max="3350" width="12.7109375" style="195" customWidth="1"/>
    <col min="3351" max="3351" width="12.42578125" style="195" customWidth="1"/>
    <col min="3352" max="3352" width="10.7109375" style="195" customWidth="1"/>
    <col min="3353" max="3353" width="4.7109375" style="195" customWidth="1"/>
    <col min="3354" max="3354" width="36.7109375" style="195" customWidth="1"/>
    <col min="3355" max="3604" width="11.42578125" style="195"/>
    <col min="3605" max="3605" width="36.7109375" style="195" customWidth="1"/>
    <col min="3606" max="3606" width="12.7109375" style="195" customWidth="1"/>
    <col min="3607" max="3607" width="12.42578125" style="195" customWidth="1"/>
    <col min="3608" max="3608" width="10.7109375" style="195" customWidth="1"/>
    <col min="3609" max="3609" width="4.7109375" style="195" customWidth="1"/>
    <col min="3610" max="3610" width="36.7109375" style="195" customWidth="1"/>
    <col min="3611" max="3860" width="11.42578125" style="195"/>
    <col min="3861" max="3861" width="36.7109375" style="195" customWidth="1"/>
    <col min="3862" max="3862" width="12.7109375" style="195" customWidth="1"/>
    <col min="3863" max="3863" width="12.42578125" style="195" customWidth="1"/>
    <col min="3864" max="3864" width="10.7109375" style="195" customWidth="1"/>
    <col min="3865" max="3865" width="4.7109375" style="195" customWidth="1"/>
    <col min="3866" max="3866" width="36.7109375" style="195" customWidth="1"/>
    <col min="3867" max="4116" width="11.42578125" style="195"/>
    <col min="4117" max="4117" width="36.7109375" style="195" customWidth="1"/>
    <col min="4118" max="4118" width="12.7109375" style="195" customWidth="1"/>
    <col min="4119" max="4119" width="12.42578125" style="195" customWidth="1"/>
    <col min="4120" max="4120" width="10.7109375" style="195" customWidth="1"/>
    <col min="4121" max="4121" width="4.7109375" style="195" customWidth="1"/>
    <col min="4122" max="4122" width="36.7109375" style="195" customWidth="1"/>
    <col min="4123" max="4372" width="11.42578125" style="195"/>
    <col min="4373" max="4373" width="36.7109375" style="195" customWidth="1"/>
    <col min="4374" max="4374" width="12.7109375" style="195" customWidth="1"/>
    <col min="4375" max="4375" width="12.42578125" style="195" customWidth="1"/>
    <col min="4376" max="4376" width="10.7109375" style="195" customWidth="1"/>
    <col min="4377" max="4377" width="4.7109375" style="195" customWidth="1"/>
    <col min="4378" max="4378" width="36.7109375" style="195" customWidth="1"/>
    <col min="4379" max="4628" width="11.42578125" style="195"/>
    <col min="4629" max="4629" width="36.7109375" style="195" customWidth="1"/>
    <col min="4630" max="4630" width="12.7109375" style="195" customWidth="1"/>
    <col min="4631" max="4631" width="12.42578125" style="195" customWidth="1"/>
    <col min="4632" max="4632" width="10.7109375" style="195" customWidth="1"/>
    <col min="4633" max="4633" width="4.7109375" style="195" customWidth="1"/>
    <col min="4634" max="4634" width="36.7109375" style="195" customWidth="1"/>
    <col min="4635" max="4884" width="11.42578125" style="195"/>
    <col min="4885" max="4885" width="36.7109375" style="195" customWidth="1"/>
    <col min="4886" max="4886" width="12.7109375" style="195" customWidth="1"/>
    <col min="4887" max="4887" width="12.42578125" style="195" customWidth="1"/>
    <col min="4888" max="4888" width="10.7109375" style="195" customWidth="1"/>
    <col min="4889" max="4889" width="4.7109375" style="195" customWidth="1"/>
    <col min="4890" max="4890" width="36.7109375" style="195" customWidth="1"/>
    <col min="4891" max="5140" width="11.42578125" style="195"/>
    <col min="5141" max="5141" width="36.7109375" style="195" customWidth="1"/>
    <col min="5142" max="5142" width="12.7109375" style="195" customWidth="1"/>
    <col min="5143" max="5143" width="12.42578125" style="195" customWidth="1"/>
    <col min="5144" max="5144" width="10.7109375" style="195" customWidth="1"/>
    <col min="5145" max="5145" width="4.7109375" style="195" customWidth="1"/>
    <col min="5146" max="5146" width="36.7109375" style="195" customWidth="1"/>
    <col min="5147" max="5396" width="11.42578125" style="195"/>
    <col min="5397" max="5397" width="36.7109375" style="195" customWidth="1"/>
    <col min="5398" max="5398" width="12.7109375" style="195" customWidth="1"/>
    <col min="5399" max="5399" width="12.42578125" style="195" customWidth="1"/>
    <col min="5400" max="5400" width="10.7109375" style="195" customWidth="1"/>
    <col min="5401" max="5401" width="4.7109375" style="195" customWidth="1"/>
    <col min="5402" max="5402" width="36.7109375" style="195" customWidth="1"/>
    <col min="5403" max="5652" width="11.42578125" style="195"/>
    <col min="5653" max="5653" width="36.7109375" style="195" customWidth="1"/>
    <col min="5654" max="5654" width="12.7109375" style="195" customWidth="1"/>
    <col min="5655" max="5655" width="12.42578125" style="195" customWidth="1"/>
    <col min="5656" max="5656" width="10.7109375" style="195" customWidth="1"/>
    <col min="5657" max="5657" width="4.7109375" style="195" customWidth="1"/>
    <col min="5658" max="5658" width="36.7109375" style="195" customWidth="1"/>
    <col min="5659" max="5908" width="11.42578125" style="195"/>
    <col min="5909" max="5909" width="36.7109375" style="195" customWidth="1"/>
    <col min="5910" max="5910" width="12.7109375" style="195" customWidth="1"/>
    <col min="5911" max="5911" width="12.42578125" style="195" customWidth="1"/>
    <col min="5912" max="5912" width="10.7109375" style="195" customWidth="1"/>
    <col min="5913" max="5913" width="4.7109375" style="195" customWidth="1"/>
    <col min="5914" max="5914" width="36.7109375" style="195" customWidth="1"/>
    <col min="5915" max="6164" width="11.42578125" style="195"/>
    <col min="6165" max="6165" width="36.7109375" style="195" customWidth="1"/>
    <col min="6166" max="6166" width="12.7109375" style="195" customWidth="1"/>
    <col min="6167" max="6167" width="12.42578125" style="195" customWidth="1"/>
    <col min="6168" max="6168" width="10.7109375" style="195" customWidth="1"/>
    <col min="6169" max="6169" width="4.7109375" style="195" customWidth="1"/>
    <col min="6170" max="6170" width="36.7109375" style="195" customWidth="1"/>
    <col min="6171" max="6420" width="11.42578125" style="195"/>
    <col min="6421" max="6421" width="36.7109375" style="195" customWidth="1"/>
    <col min="6422" max="6422" width="12.7109375" style="195" customWidth="1"/>
    <col min="6423" max="6423" width="12.42578125" style="195" customWidth="1"/>
    <col min="6424" max="6424" width="10.7109375" style="195" customWidth="1"/>
    <col min="6425" max="6425" width="4.7109375" style="195" customWidth="1"/>
    <col min="6426" max="6426" width="36.7109375" style="195" customWidth="1"/>
    <col min="6427" max="6676" width="11.42578125" style="195"/>
    <col min="6677" max="6677" width="36.7109375" style="195" customWidth="1"/>
    <col min="6678" max="6678" width="12.7109375" style="195" customWidth="1"/>
    <col min="6679" max="6679" width="12.42578125" style="195" customWidth="1"/>
    <col min="6680" max="6680" width="10.7109375" style="195" customWidth="1"/>
    <col min="6681" max="6681" width="4.7109375" style="195" customWidth="1"/>
    <col min="6682" max="6682" width="36.7109375" style="195" customWidth="1"/>
    <col min="6683" max="6932" width="11.42578125" style="195"/>
    <col min="6933" max="6933" width="36.7109375" style="195" customWidth="1"/>
    <col min="6934" max="6934" width="12.7109375" style="195" customWidth="1"/>
    <col min="6935" max="6935" width="12.42578125" style="195" customWidth="1"/>
    <col min="6936" max="6936" width="10.7109375" style="195" customWidth="1"/>
    <col min="6937" max="6937" width="4.7109375" style="195" customWidth="1"/>
    <col min="6938" max="6938" width="36.7109375" style="195" customWidth="1"/>
    <col min="6939" max="7188" width="11.42578125" style="195"/>
    <col min="7189" max="7189" width="36.7109375" style="195" customWidth="1"/>
    <col min="7190" max="7190" width="12.7109375" style="195" customWidth="1"/>
    <col min="7191" max="7191" width="12.42578125" style="195" customWidth="1"/>
    <col min="7192" max="7192" width="10.7109375" style="195" customWidth="1"/>
    <col min="7193" max="7193" width="4.7109375" style="195" customWidth="1"/>
    <col min="7194" max="7194" width="36.7109375" style="195" customWidth="1"/>
    <col min="7195" max="7444" width="11.42578125" style="195"/>
    <col min="7445" max="7445" width="36.7109375" style="195" customWidth="1"/>
    <col min="7446" max="7446" width="12.7109375" style="195" customWidth="1"/>
    <col min="7447" max="7447" width="12.42578125" style="195" customWidth="1"/>
    <col min="7448" max="7448" width="10.7109375" style="195" customWidth="1"/>
    <col min="7449" max="7449" width="4.7109375" style="195" customWidth="1"/>
    <col min="7450" max="7450" width="36.7109375" style="195" customWidth="1"/>
    <col min="7451" max="7700" width="11.42578125" style="195"/>
    <col min="7701" max="7701" width="36.7109375" style="195" customWidth="1"/>
    <col min="7702" max="7702" width="12.7109375" style="195" customWidth="1"/>
    <col min="7703" max="7703" width="12.42578125" style="195" customWidth="1"/>
    <col min="7704" max="7704" width="10.7109375" style="195" customWidth="1"/>
    <col min="7705" max="7705" width="4.7109375" style="195" customWidth="1"/>
    <col min="7706" max="7706" width="36.7109375" style="195" customWidth="1"/>
    <col min="7707" max="7956" width="11.42578125" style="195"/>
    <col min="7957" max="7957" width="36.7109375" style="195" customWidth="1"/>
    <col min="7958" max="7958" width="12.7109375" style="195" customWidth="1"/>
    <col min="7959" max="7959" width="12.42578125" style="195" customWidth="1"/>
    <col min="7960" max="7960" width="10.7109375" style="195" customWidth="1"/>
    <col min="7961" max="7961" width="4.7109375" style="195" customWidth="1"/>
    <col min="7962" max="7962" width="36.7109375" style="195" customWidth="1"/>
    <col min="7963" max="8212" width="11.42578125" style="195"/>
    <col min="8213" max="8213" width="36.7109375" style="195" customWidth="1"/>
    <col min="8214" max="8214" width="12.7109375" style="195" customWidth="1"/>
    <col min="8215" max="8215" width="12.42578125" style="195" customWidth="1"/>
    <col min="8216" max="8216" width="10.7109375" style="195" customWidth="1"/>
    <col min="8217" max="8217" width="4.7109375" style="195" customWidth="1"/>
    <col min="8218" max="8218" width="36.7109375" style="195" customWidth="1"/>
    <col min="8219" max="8468" width="11.42578125" style="195"/>
    <col min="8469" max="8469" width="36.7109375" style="195" customWidth="1"/>
    <col min="8470" max="8470" width="12.7109375" style="195" customWidth="1"/>
    <col min="8471" max="8471" width="12.42578125" style="195" customWidth="1"/>
    <col min="8472" max="8472" width="10.7109375" style="195" customWidth="1"/>
    <col min="8473" max="8473" width="4.7109375" style="195" customWidth="1"/>
    <col min="8474" max="8474" width="36.7109375" style="195" customWidth="1"/>
    <col min="8475" max="8724" width="11.42578125" style="195"/>
    <col min="8725" max="8725" width="36.7109375" style="195" customWidth="1"/>
    <col min="8726" max="8726" width="12.7109375" style="195" customWidth="1"/>
    <col min="8727" max="8727" width="12.42578125" style="195" customWidth="1"/>
    <col min="8728" max="8728" width="10.7109375" style="195" customWidth="1"/>
    <col min="8729" max="8729" width="4.7109375" style="195" customWidth="1"/>
    <col min="8730" max="8730" width="36.7109375" style="195" customWidth="1"/>
    <col min="8731" max="8980" width="11.42578125" style="195"/>
    <col min="8981" max="8981" width="36.7109375" style="195" customWidth="1"/>
    <col min="8982" max="8982" width="12.7109375" style="195" customWidth="1"/>
    <col min="8983" max="8983" width="12.42578125" style="195" customWidth="1"/>
    <col min="8984" max="8984" width="10.7109375" style="195" customWidth="1"/>
    <col min="8985" max="8985" width="4.7109375" style="195" customWidth="1"/>
    <col min="8986" max="8986" width="36.7109375" style="195" customWidth="1"/>
    <col min="8987" max="9236" width="11.42578125" style="195"/>
    <col min="9237" max="9237" width="36.7109375" style="195" customWidth="1"/>
    <col min="9238" max="9238" width="12.7109375" style="195" customWidth="1"/>
    <col min="9239" max="9239" width="12.42578125" style="195" customWidth="1"/>
    <col min="9240" max="9240" width="10.7109375" style="195" customWidth="1"/>
    <col min="9241" max="9241" width="4.7109375" style="195" customWidth="1"/>
    <col min="9242" max="9242" width="36.7109375" style="195" customWidth="1"/>
    <col min="9243" max="9492" width="11.42578125" style="195"/>
    <col min="9493" max="9493" width="36.7109375" style="195" customWidth="1"/>
    <col min="9494" max="9494" width="12.7109375" style="195" customWidth="1"/>
    <col min="9495" max="9495" width="12.42578125" style="195" customWidth="1"/>
    <col min="9496" max="9496" width="10.7109375" style="195" customWidth="1"/>
    <col min="9497" max="9497" width="4.7109375" style="195" customWidth="1"/>
    <col min="9498" max="9498" width="36.7109375" style="195" customWidth="1"/>
    <col min="9499" max="9748" width="11.42578125" style="195"/>
    <col min="9749" max="9749" width="36.7109375" style="195" customWidth="1"/>
    <col min="9750" max="9750" width="12.7109375" style="195" customWidth="1"/>
    <col min="9751" max="9751" width="12.42578125" style="195" customWidth="1"/>
    <col min="9752" max="9752" width="10.7109375" style="195" customWidth="1"/>
    <col min="9753" max="9753" width="4.7109375" style="195" customWidth="1"/>
    <col min="9754" max="9754" width="36.7109375" style="195" customWidth="1"/>
    <col min="9755" max="10004" width="11.42578125" style="195"/>
    <col min="10005" max="10005" width="36.7109375" style="195" customWidth="1"/>
    <col min="10006" max="10006" width="12.7109375" style="195" customWidth="1"/>
    <col min="10007" max="10007" width="12.42578125" style="195" customWidth="1"/>
    <col min="10008" max="10008" width="10.7109375" style="195" customWidth="1"/>
    <col min="10009" max="10009" width="4.7109375" style="195" customWidth="1"/>
    <col min="10010" max="10010" width="36.7109375" style="195" customWidth="1"/>
    <col min="10011" max="10260" width="11.42578125" style="195"/>
    <col min="10261" max="10261" width="36.7109375" style="195" customWidth="1"/>
    <col min="10262" max="10262" width="12.7109375" style="195" customWidth="1"/>
    <col min="10263" max="10263" width="12.42578125" style="195" customWidth="1"/>
    <col min="10264" max="10264" width="10.7109375" style="195" customWidth="1"/>
    <col min="10265" max="10265" width="4.7109375" style="195" customWidth="1"/>
    <col min="10266" max="10266" width="36.7109375" style="195" customWidth="1"/>
    <col min="10267" max="10516" width="11.42578125" style="195"/>
    <col min="10517" max="10517" width="36.7109375" style="195" customWidth="1"/>
    <col min="10518" max="10518" width="12.7109375" style="195" customWidth="1"/>
    <col min="10519" max="10519" width="12.42578125" style="195" customWidth="1"/>
    <col min="10520" max="10520" width="10.7109375" style="195" customWidth="1"/>
    <col min="10521" max="10521" width="4.7109375" style="195" customWidth="1"/>
    <col min="10522" max="10522" width="36.7109375" style="195" customWidth="1"/>
    <col min="10523" max="10772" width="11.42578125" style="195"/>
    <col min="10773" max="10773" width="36.7109375" style="195" customWidth="1"/>
    <col min="10774" max="10774" width="12.7109375" style="195" customWidth="1"/>
    <col min="10775" max="10775" width="12.42578125" style="195" customWidth="1"/>
    <col min="10776" max="10776" width="10.7109375" style="195" customWidth="1"/>
    <col min="10777" max="10777" width="4.7109375" style="195" customWidth="1"/>
    <col min="10778" max="10778" width="36.7109375" style="195" customWidth="1"/>
    <col min="10779" max="11028" width="11.42578125" style="195"/>
    <col min="11029" max="11029" width="36.7109375" style="195" customWidth="1"/>
    <col min="11030" max="11030" width="12.7109375" style="195" customWidth="1"/>
    <col min="11031" max="11031" width="12.42578125" style="195" customWidth="1"/>
    <col min="11032" max="11032" width="10.7109375" style="195" customWidth="1"/>
    <col min="11033" max="11033" width="4.7109375" style="195" customWidth="1"/>
    <col min="11034" max="11034" width="36.7109375" style="195" customWidth="1"/>
    <col min="11035" max="11284" width="11.42578125" style="195"/>
    <col min="11285" max="11285" width="36.7109375" style="195" customWidth="1"/>
    <col min="11286" max="11286" width="12.7109375" style="195" customWidth="1"/>
    <col min="11287" max="11287" width="12.42578125" style="195" customWidth="1"/>
    <col min="11288" max="11288" width="10.7109375" style="195" customWidth="1"/>
    <col min="11289" max="11289" width="4.7109375" style="195" customWidth="1"/>
    <col min="11290" max="11290" width="36.7109375" style="195" customWidth="1"/>
    <col min="11291" max="11540" width="11.42578125" style="195"/>
    <col min="11541" max="11541" width="36.7109375" style="195" customWidth="1"/>
    <col min="11542" max="11542" width="12.7109375" style="195" customWidth="1"/>
    <col min="11543" max="11543" width="12.42578125" style="195" customWidth="1"/>
    <col min="11544" max="11544" width="10.7109375" style="195" customWidth="1"/>
    <col min="11545" max="11545" width="4.7109375" style="195" customWidth="1"/>
    <col min="11546" max="11546" width="36.7109375" style="195" customWidth="1"/>
    <col min="11547" max="11796" width="11.42578125" style="195"/>
    <col min="11797" max="11797" width="36.7109375" style="195" customWidth="1"/>
    <col min="11798" max="11798" width="12.7109375" style="195" customWidth="1"/>
    <col min="11799" max="11799" width="12.42578125" style="195" customWidth="1"/>
    <col min="11800" max="11800" width="10.7109375" style="195" customWidth="1"/>
    <col min="11801" max="11801" width="4.7109375" style="195" customWidth="1"/>
    <col min="11802" max="11802" width="36.7109375" style="195" customWidth="1"/>
    <col min="11803" max="12052" width="11.42578125" style="195"/>
    <col min="12053" max="12053" width="36.7109375" style="195" customWidth="1"/>
    <col min="12054" max="12054" width="12.7109375" style="195" customWidth="1"/>
    <col min="12055" max="12055" width="12.42578125" style="195" customWidth="1"/>
    <col min="12056" max="12056" width="10.7109375" style="195" customWidth="1"/>
    <col min="12057" max="12057" width="4.7109375" style="195" customWidth="1"/>
    <col min="12058" max="12058" width="36.7109375" style="195" customWidth="1"/>
    <col min="12059" max="12308" width="11.42578125" style="195"/>
    <col min="12309" max="12309" width="36.7109375" style="195" customWidth="1"/>
    <col min="12310" max="12310" width="12.7109375" style="195" customWidth="1"/>
    <col min="12311" max="12311" width="12.42578125" style="195" customWidth="1"/>
    <col min="12312" max="12312" width="10.7109375" style="195" customWidth="1"/>
    <col min="12313" max="12313" width="4.7109375" style="195" customWidth="1"/>
    <col min="12314" max="12314" width="36.7109375" style="195" customWidth="1"/>
    <col min="12315" max="12564" width="11.42578125" style="195"/>
    <col min="12565" max="12565" width="36.7109375" style="195" customWidth="1"/>
    <col min="12566" max="12566" width="12.7109375" style="195" customWidth="1"/>
    <col min="12567" max="12567" width="12.42578125" style="195" customWidth="1"/>
    <col min="12568" max="12568" width="10.7109375" style="195" customWidth="1"/>
    <col min="12569" max="12569" width="4.7109375" style="195" customWidth="1"/>
    <col min="12570" max="12570" width="36.7109375" style="195" customWidth="1"/>
    <col min="12571" max="12820" width="11.42578125" style="195"/>
    <col min="12821" max="12821" width="36.7109375" style="195" customWidth="1"/>
    <col min="12822" max="12822" width="12.7109375" style="195" customWidth="1"/>
    <col min="12823" max="12823" width="12.42578125" style="195" customWidth="1"/>
    <col min="12824" max="12824" width="10.7109375" style="195" customWidth="1"/>
    <col min="12825" max="12825" width="4.7109375" style="195" customWidth="1"/>
    <col min="12826" max="12826" width="36.7109375" style="195" customWidth="1"/>
    <col min="12827" max="13076" width="11.42578125" style="195"/>
    <col min="13077" max="13077" width="36.7109375" style="195" customWidth="1"/>
    <col min="13078" max="13078" width="12.7109375" style="195" customWidth="1"/>
    <col min="13079" max="13079" width="12.42578125" style="195" customWidth="1"/>
    <col min="13080" max="13080" width="10.7109375" style="195" customWidth="1"/>
    <col min="13081" max="13081" width="4.7109375" style="195" customWidth="1"/>
    <col min="13082" max="13082" width="36.7109375" style="195" customWidth="1"/>
    <col min="13083" max="13332" width="11.42578125" style="195"/>
    <col min="13333" max="13333" width="36.7109375" style="195" customWidth="1"/>
    <col min="13334" max="13334" width="12.7109375" style="195" customWidth="1"/>
    <col min="13335" max="13335" width="12.42578125" style="195" customWidth="1"/>
    <col min="13336" max="13336" width="10.7109375" style="195" customWidth="1"/>
    <col min="13337" max="13337" width="4.7109375" style="195" customWidth="1"/>
    <col min="13338" max="13338" width="36.7109375" style="195" customWidth="1"/>
    <col min="13339" max="13588" width="11.42578125" style="195"/>
    <col min="13589" max="13589" width="36.7109375" style="195" customWidth="1"/>
    <col min="13590" max="13590" width="12.7109375" style="195" customWidth="1"/>
    <col min="13591" max="13591" width="12.42578125" style="195" customWidth="1"/>
    <col min="13592" max="13592" width="10.7109375" style="195" customWidth="1"/>
    <col min="13593" max="13593" width="4.7109375" style="195" customWidth="1"/>
    <col min="13594" max="13594" width="36.7109375" style="195" customWidth="1"/>
    <col min="13595" max="13844" width="11.42578125" style="195"/>
    <col min="13845" max="13845" width="36.7109375" style="195" customWidth="1"/>
    <col min="13846" max="13846" width="12.7109375" style="195" customWidth="1"/>
    <col min="13847" max="13847" width="12.42578125" style="195" customWidth="1"/>
    <col min="13848" max="13848" width="10.7109375" style="195" customWidth="1"/>
    <col min="13849" max="13849" width="4.7109375" style="195" customWidth="1"/>
    <col min="13850" max="13850" width="36.7109375" style="195" customWidth="1"/>
    <col min="13851" max="14100" width="11.42578125" style="195"/>
    <col min="14101" max="14101" width="36.7109375" style="195" customWidth="1"/>
    <col min="14102" max="14102" width="12.7109375" style="195" customWidth="1"/>
    <col min="14103" max="14103" width="12.42578125" style="195" customWidth="1"/>
    <col min="14104" max="14104" width="10.7109375" style="195" customWidth="1"/>
    <col min="14105" max="14105" width="4.7109375" style="195" customWidth="1"/>
    <col min="14106" max="14106" width="36.7109375" style="195" customWidth="1"/>
    <col min="14107" max="14356" width="11.42578125" style="195"/>
    <col min="14357" max="14357" width="36.7109375" style="195" customWidth="1"/>
    <col min="14358" max="14358" width="12.7109375" style="195" customWidth="1"/>
    <col min="14359" max="14359" width="12.42578125" style="195" customWidth="1"/>
    <col min="14360" max="14360" width="10.7109375" style="195" customWidth="1"/>
    <col min="14361" max="14361" width="4.7109375" style="195" customWidth="1"/>
    <col min="14362" max="14362" width="36.7109375" style="195" customWidth="1"/>
    <col min="14363" max="14612" width="11.42578125" style="195"/>
    <col min="14613" max="14613" width="36.7109375" style="195" customWidth="1"/>
    <col min="14614" max="14614" width="12.7109375" style="195" customWidth="1"/>
    <col min="14615" max="14615" width="12.42578125" style="195" customWidth="1"/>
    <col min="14616" max="14616" width="10.7109375" style="195" customWidth="1"/>
    <col min="14617" max="14617" width="4.7109375" style="195" customWidth="1"/>
    <col min="14618" max="14618" width="36.7109375" style="195" customWidth="1"/>
    <col min="14619" max="14868" width="11.42578125" style="195"/>
    <col min="14869" max="14869" width="36.7109375" style="195" customWidth="1"/>
    <col min="14870" max="14870" width="12.7109375" style="195" customWidth="1"/>
    <col min="14871" max="14871" width="12.42578125" style="195" customWidth="1"/>
    <col min="14872" max="14872" width="10.7109375" style="195" customWidth="1"/>
    <col min="14873" max="14873" width="4.7109375" style="195" customWidth="1"/>
    <col min="14874" max="14874" width="36.7109375" style="195" customWidth="1"/>
    <col min="14875" max="15124" width="11.42578125" style="195"/>
    <col min="15125" max="15125" width="36.7109375" style="195" customWidth="1"/>
    <col min="15126" max="15126" width="12.7109375" style="195" customWidth="1"/>
    <col min="15127" max="15127" width="12.42578125" style="195" customWidth="1"/>
    <col min="15128" max="15128" width="10.7109375" style="195" customWidth="1"/>
    <col min="15129" max="15129" width="4.7109375" style="195" customWidth="1"/>
    <col min="15130" max="15130" width="36.7109375" style="195" customWidth="1"/>
    <col min="15131" max="15380" width="11.42578125" style="195"/>
    <col min="15381" max="15381" width="36.7109375" style="195" customWidth="1"/>
    <col min="15382" max="15382" width="12.7109375" style="195" customWidth="1"/>
    <col min="15383" max="15383" width="12.42578125" style="195" customWidth="1"/>
    <col min="15384" max="15384" width="10.7109375" style="195" customWidth="1"/>
    <col min="15385" max="15385" width="4.7109375" style="195" customWidth="1"/>
    <col min="15386" max="15386" width="36.7109375" style="195" customWidth="1"/>
    <col min="15387" max="15636" width="11.42578125" style="195"/>
    <col min="15637" max="15637" width="36.7109375" style="195" customWidth="1"/>
    <col min="15638" max="15638" width="12.7109375" style="195" customWidth="1"/>
    <col min="15639" max="15639" width="12.42578125" style="195" customWidth="1"/>
    <col min="15640" max="15640" width="10.7109375" style="195" customWidth="1"/>
    <col min="15641" max="15641" width="4.7109375" style="195" customWidth="1"/>
    <col min="15642" max="15642" width="36.7109375" style="195" customWidth="1"/>
    <col min="15643" max="15892" width="11.42578125" style="195"/>
    <col min="15893" max="15893" width="36.7109375" style="195" customWidth="1"/>
    <col min="15894" max="15894" width="12.7109375" style="195" customWidth="1"/>
    <col min="15895" max="15895" width="12.42578125" style="195" customWidth="1"/>
    <col min="15896" max="15896" width="10.7109375" style="195" customWidth="1"/>
    <col min="15897" max="15897" width="4.7109375" style="195" customWidth="1"/>
    <col min="15898" max="15898" width="36.7109375" style="195" customWidth="1"/>
    <col min="15899" max="16148" width="11.42578125" style="195"/>
    <col min="16149" max="16149" width="36.7109375" style="195" customWidth="1"/>
    <col min="16150" max="16150" width="12.7109375" style="195" customWidth="1"/>
    <col min="16151" max="16151" width="12.42578125" style="195" customWidth="1"/>
    <col min="16152" max="16152" width="10.7109375" style="195" customWidth="1"/>
    <col min="16153" max="16153" width="4.7109375" style="195" customWidth="1"/>
    <col min="16154" max="16154" width="36.7109375" style="195" customWidth="1"/>
    <col min="16155" max="16384" width="11.42578125" style="195"/>
  </cols>
  <sheetData>
    <row r="5" spans="2:49" ht="15.75" customHeight="1">
      <c r="B5" s="194" t="s">
        <v>157</v>
      </c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</row>
    <row r="6" spans="2:49" s="202" customFormat="1" ht="25.5">
      <c r="B6" s="196" t="s">
        <v>158</v>
      </c>
      <c r="C6" s="197" t="s">
        <v>159</v>
      </c>
      <c r="D6" s="197" t="s">
        <v>160</v>
      </c>
      <c r="E6" s="197" t="s">
        <v>161</v>
      </c>
      <c r="F6" s="197" t="s">
        <v>160</v>
      </c>
      <c r="G6" s="197" t="s">
        <v>162</v>
      </c>
      <c r="H6" s="197" t="s">
        <v>160</v>
      </c>
      <c r="I6" s="197" t="s">
        <v>163</v>
      </c>
      <c r="J6" s="197" t="s">
        <v>160</v>
      </c>
      <c r="K6" s="198" t="s">
        <v>164</v>
      </c>
      <c r="L6" s="197" t="s">
        <v>160</v>
      </c>
      <c r="M6" s="198" t="s">
        <v>165</v>
      </c>
      <c r="N6" s="197" t="s">
        <v>160</v>
      </c>
      <c r="O6" s="198" t="s">
        <v>166</v>
      </c>
      <c r="P6" s="197" t="s">
        <v>160</v>
      </c>
      <c r="Q6" s="198" t="s">
        <v>167</v>
      </c>
      <c r="R6" s="197" t="s">
        <v>160</v>
      </c>
      <c r="S6" s="197" t="s">
        <v>168</v>
      </c>
      <c r="T6" s="197" t="s">
        <v>160</v>
      </c>
      <c r="U6" s="199" t="s">
        <v>169</v>
      </c>
      <c r="V6" s="197" t="s">
        <v>160</v>
      </c>
      <c r="W6" s="199" t="s">
        <v>170</v>
      </c>
      <c r="X6" s="197" t="s">
        <v>160</v>
      </c>
      <c r="Y6" s="199" t="s">
        <v>171</v>
      </c>
      <c r="Z6" s="197" t="s">
        <v>160</v>
      </c>
      <c r="AA6" s="199" t="s">
        <v>172</v>
      </c>
      <c r="AB6" s="197" t="s">
        <v>160</v>
      </c>
      <c r="AC6" s="197" t="s">
        <v>173</v>
      </c>
      <c r="AD6" s="197" t="s">
        <v>160</v>
      </c>
      <c r="AE6" s="197" t="s">
        <v>174</v>
      </c>
      <c r="AF6" s="197" t="s">
        <v>160</v>
      </c>
      <c r="AG6" s="197" t="s">
        <v>175</v>
      </c>
      <c r="AH6" s="197" t="s">
        <v>160</v>
      </c>
      <c r="AI6" s="200" t="s">
        <v>176</v>
      </c>
      <c r="AJ6" s="197" t="s">
        <v>160</v>
      </c>
      <c r="AK6" s="200" t="s">
        <v>177</v>
      </c>
      <c r="AL6" s="197" t="s">
        <v>160</v>
      </c>
      <c r="AM6" s="200" t="s">
        <v>178</v>
      </c>
      <c r="AN6" s="197" t="s">
        <v>160</v>
      </c>
      <c r="AO6" s="200" t="s">
        <v>179</v>
      </c>
      <c r="AP6" s="197" t="s">
        <v>160</v>
      </c>
      <c r="AQ6" s="200" t="s">
        <v>180</v>
      </c>
      <c r="AR6" s="197" t="s">
        <v>160</v>
      </c>
      <c r="AS6" s="200" t="s">
        <v>181</v>
      </c>
      <c r="AT6" s="197" t="s">
        <v>160</v>
      </c>
      <c r="AU6" s="196" t="s">
        <v>107</v>
      </c>
      <c r="AV6" s="201" t="s">
        <v>160</v>
      </c>
      <c r="AW6"/>
    </row>
    <row r="7" spans="2:49" hidden="1">
      <c r="B7" s="51" t="s">
        <v>37</v>
      </c>
      <c r="C7" s="203" t="str">
        <f>IFERROR(GETPIVOTDATA("dato",'[1]evolucion mensual nacionali'!$A$4,"indicador","España","mes",12,"año",2010),"-")</f>
        <v>-</v>
      </c>
      <c r="D7" s="204" t="str">
        <f t="shared" ref="D7:D18" si="0">IFERROR(C7/C20-1,"-")</f>
        <v>-</v>
      </c>
      <c r="E7" s="203" t="str">
        <f>IFERROR(GETPIVOTDATA("dato",'[1]evolucion mensual nacionali'!$A$4,"indicador","HOLANDA","mes",12,"año",2010),"-")</f>
        <v>-</v>
      </c>
      <c r="F7" s="204" t="str">
        <f t="shared" ref="F7:F18" si="1">IFERROR(E7/E20-1,"-")</f>
        <v>-</v>
      </c>
      <c r="G7" s="203" t="str">
        <f>IFERROR(GETPIVOTDATA("dato",'[1]evolucion mensual nacionali'!$A$4,"indicador","BÉLGICA","mes",12,"año",2010),"-")</f>
        <v>-</v>
      </c>
      <c r="H7" s="204" t="str">
        <f t="shared" ref="H7:H18" si="2">IFERROR(G7/G20-1,"-")</f>
        <v>-</v>
      </c>
      <c r="I7" s="203" t="str">
        <f>IFERROR(GETPIVOTDATA("dato",'[1]evolucion mensual nacionali'!$A$4,"indicador","ALEMANIA","mes",12,"año",2010),"-")</f>
        <v>-</v>
      </c>
      <c r="J7" s="204" t="str">
        <f t="shared" ref="J7:J18" si="3">IFERROR(I7/I20-1,"-")</f>
        <v>-</v>
      </c>
      <c r="K7" s="203" t="str">
        <f>IFERROR(GETPIVOTDATA("dato",'[1]evolucion mensual nacionali'!$A$4,"indicador","FRANCIA","mes",12,"año",2010),"-")</f>
        <v>-</v>
      </c>
      <c r="L7" s="204" t="str">
        <f t="shared" ref="L7:L18" si="4">IFERROR(K7/K20-1,"-")</f>
        <v>-</v>
      </c>
      <c r="M7" s="203" t="str">
        <f>IFERROR(GETPIVOTDATA("dato",'[1]evolucion mensual nacionali'!$A$4,"indicador","REINO UNIDO","mes",12,"año",2010),"-")</f>
        <v>-</v>
      </c>
      <c r="N7" s="204" t="str">
        <f t="shared" ref="N7:N18" si="5">IFERROR(M7/M20-1,"-")</f>
        <v>-</v>
      </c>
      <c r="O7" s="203" t="str">
        <f>IFERROR(GETPIVOTDATA("dato",'[1]evolucion mensual nacionali'!$A$4,"indicador","IRLANDA","mes",12,"año",2010),"-")</f>
        <v>-</v>
      </c>
      <c r="P7" s="204" t="str">
        <f t="shared" ref="P7:P18" si="6">IFERROR(O7/O20-1,"-")</f>
        <v>-</v>
      </c>
      <c r="Q7" s="203" t="str">
        <f>IFERROR(GETPIVOTDATA("dato",'[1]evolucion mensual nacionali'!$A$4,"indicador","ITALIA","mes",12,"año",2010),"-")</f>
        <v>-</v>
      </c>
      <c r="R7" s="204" t="str">
        <f t="shared" ref="R7:R18" si="7">IFERROR(Q7/Q20-1,"-")</f>
        <v>-</v>
      </c>
      <c r="S7" s="203" t="e">
        <f>U7+W7+Y7+AA7</f>
        <v>#VALUE!</v>
      </c>
      <c r="T7" s="204" t="str">
        <f t="shared" ref="T7:T18" si="8">IFERROR(S7/S20-1,"-")</f>
        <v>-</v>
      </c>
      <c r="U7" s="203" t="str">
        <f>IFERROR(GETPIVOTDATA("dato",'[1]evolucion mensual nacionali'!$A$4,"indicador","SUECIA","mes",12,"año",2010),"-")</f>
        <v>-</v>
      </c>
      <c r="V7" s="204" t="str">
        <f t="shared" ref="V7:V18" si="9">IFERROR(U7/U20-1,"-")</f>
        <v>-</v>
      </c>
      <c r="W7" s="203" t="str">
        <f>IFERROR(GETPIVOTDATA("dato",'[1]evolucion mensual nacionali'!$A$4,"indicador","NORUEGA","mes",12,"año",2010),"-")</f>
        <v>-</v>
      </c>
      <c r="X7" s="204" t="str">
        <f t="shared" ref="X7:X18" si="10">IFERROR(W7/W20-1,"-")</f>
        <v>-</v>
      </c>
      <c r="Y7" s="203" t="str">
        <f>IFERROR(GETPIVOTDATA("dato",'[1]evolucion mensual nacionali'!$A$4,"indicador","DINAMARCA","mes",12,"año",2010),"-")</f>
        <v>-</v>
      </c>
      <c r="Z7" s="204" t="str">
        <f t="shared" ref="Z7:Z18" si="11">IFERROR(Y7/Y20-1,"-")</f>
        <v>-</v>
      </c>
      <c r="AA7" s="203" t="str">
        <f>IFERROR(GETPIVOTDATA("dato",'[1]evolucion mensual nacionali'!$A$4,"indicador","FINLANDIA","mes",12,"año",2010),"-")</f>
        <v>-</v>
      </c>
      <c r="AB7" s="204" t="str">
        <f t="shared" ref="AB7:AB18" si="12">IFERROR(AA7/AA20-1,"-")</f>
        <v>-</v>
      </c>
      <c r="AC7" s="203" t="str">
        <f>IFERROR(GETPIVOTDATA("dato",'[1]evolucion mensual nacionali'!$A$4,"indicador","SUIZA","mes",12,"año",2010),"-")</f>
        <v>-</v>
      </c>
      <c r="AD7" s="204" t="str">
        <f t="shared" ref="AD7:AD18" si="13">IFERROR(AC7/AC20-1,"-")</f>
        <v>-</v>
      </c>
      <c r="AE7" s="203" t="str">
        <f>IFERROR(GETPIVOTDATA("dato",'[1]evolucion mensual nacionali'!$A$4,"indicador","AUSTRIA","mes",12,"año",2010),"-")</f>
        <v>-</v>
      </c>
      <c r="AF7" s="204" t="str">
        <f t="shared" ref="AF7:AF18" si="14">IFERROR(AE7/AE20-1,"-")</f>
        <v>-</v>
      </c>
      <c r="AG7" s="203" t="str">
        <f>IFERROR(GETPIVOTDATA("dato",'[1]evolucion mensual nacionali'!$A$4,"indicador","RUSIA","mes",12,"año",2010),"-")</f>
        <v>-</v>
      </c>
      <c r="AH7" s="204" t="str">
        <f t="shared" ref="AH7:AH18" si="15">IFERROR(AG7/AG20-1,"-")</f>
        <v>-</v>
      </c>
      <c r="AI7" s="203" t="str">
        <f>IFERROR(GETPIVOTDATA("dato",'[1]evolucion mensual nacionali'!$A$4,"indicador","PAÍSES DEL ESTE","mes",12,"año",2010),"-")</f>
        <v>-</v>
      </c>
      <c r="AJ7" s="204" t="str">
        <f t="shared" ref="AJ7:AJ18" si="16">IFERROR(AI7/AI20-1,"-")</f>
        <v>-</v>
      </c>
      <c r="AK7" s="203" t="str">
        <f>IFERROR(GETPIVOTDATA("dato",'[1]evolucion mensual nacionali'!$A$4,"indicador","RESTO DE EUROPA","mes",12,"año",2010),"-")</f>
        <v>-</v>
      </c>
      <c r="AL7" s="204" t="str">
        <f t="shared" ref="AL7:AL18" si="17">IFERROR(AK7/AK20-1,"-")</f>
        <v>-</v>
      </c>
      <c r="AM7" s="203" t="str">
        <f>IFERROR(GETPIVOTDATA("dato",'[1]evolucion mensual nacionali'!$A$4,"indicador","USA","mes",12,"año",2010),"-")</f>
        <v>-</v>
      </c>
      <c r="AN7" s="204" t="str">
        <f t="shared" ref="AN7:AN18" si="18">IFERROR(AM7/AM20-1,"-")</f>
        <v>-</v>
      </c>
      <c r="AO7" s="203" t="str">
        <f>IFERROR(GETPIVOTDATA("dato",'[1]evolucion mensual nacionali'!$A$4,"indicador","RESTO DE AMÉRICA","mes",12,"año",2010),"-")</f>
        <v>-</v>
      </c>
      <c r="AP7" s="204" t="str">
        <f t="shared" ref="AP7:AP18" si="19">IFERROR(AO7/AO20-1,"-")</f>
        <v>-</v>
      </c>
      <c r="AQ7" s="203" t="str">
        <f>IFERROR(GETPIVOTDATA("dato",'[1]evolucion mensual nacionali'!$A$4,"indicador","RESTO DEL MUNDO","mes",12,"año",2010),"-")</f>
        <v>-</v>
      </c>
      <c r="AR7" s="204" t="str">
        <f t="shared" ref="AR7:AR18" si="20">IFERROR(AQ7/AQ20-1,"-")</f>
        <v>-</v>
      </c>
      <c r="AS7" s="203" t="e">
        <f>AU7-C7</f>
        <v>#VALUE!</v>
      </c>
      <c r="AT7" s="204" t="str">
        <f t="shared" ref="AT7:AT18" si="21">IFERROR(AS7/AS20-1,"-")</f>
        <v>-</v>
      </c>
      <c r="AU7" s="205" t="str">
        <f>IFERROR(GETPIVOTDATA("dato",'[1]evolucion mensual nacionali'!$A$4,"indicador","TOTAL","mes",12,"año",2010),"-")</f>
        <v>-</v>
      </c>
      <c r="AV7" s="206" t="str">
        <f t="shared" ref="AV7:AV18" si="22">IFERROR(AU7/AU20-1,"-")</f>
        <v>-</v>
      </c>
    </row>
    <row r="8" spans="2:49" hidden="1">
      <c r="B8" s="51" t="s">
        <v>38</v>
      </c>
      <c r="C8" s="203" t="str">
        <f>IFERROR(GETPIVOTDATA("dato",'[1]evolucion mensual nacionali'!$A$4,"indicador","España","mes",11,"año",2010),"-")</f>
        <v>-</v>
      </c>
      <c r="D8" s="204" t="str">
        <f t="shared" si="0"/>
        <v>-</v>
      </c>
      <c r="E8" s="203" t="str">
        <f>IFERROR(GETPIVOTDATA("dato",'[1]evolucion mensual nacionali'!$A$4,"indicador","HOLANDA","mes",11,"año",2010),"-")</f>
        <v>-</v>
      </c>
      <c r="F8" s="204" t="str">
        <f t="shared" si="1"/>
        <v>-</v>
      </c>
      <c r="G8" s="203" t="str">
        <f>IFERROR(GETPIVOTDATA("dato",'[1]evolucion mensual nacionali'!$A$4,"indicador","BÉLGICA","mes",11,"año",2010),"-")</f>
        <v>-</v>
      </c>
      <c r="H8" s="204" t="str">
        <f t="shared" si="2"/>
        <v>-</v>
      </c>
      <c r="I8" s="203" t="str">
        <f>IFERROR(GETPIVOTDATA("dato",'[1]evolucion mensual nacionali'!$A$4,"indicador","ALEMANIA","mes",11,"año",2010),"-")</f>
        <v>-</v>
      </c>
      <c r="J8" s="204" t="str">
        <f t="shared" si="3"/>
        <v>-</v>
      </c>
      <c r="K8" s="203" t="str">
        <f>IFERROR(GETPIVOTDATA("dato",'[1]evolucion mensual nacionali'!$A$4,"indicador","FRANCIA","mes",11,"año",2010),"-")</f>
        <v>-</v>
      </c>
      <c r="L8" s="204" t="str">
        <f t="shared" si="4"/>
        <v>-</v>
      </c>
      <c r="M8" s="203" t="str">
        <f>IFERROR(GETPIVOTDATA("dato",'[1]evolucion mensual nacionali'!$A$4,"indicador","REINO UNIDO","mes",11,"año",2010),"-")</f>
        <v>-</v>
      </c>
      <c r="N8" s="204" t="str">
        <f t="shared" si="5"/>
        <v>-</v>
      </c>
      <c r="O8" s="203" t="str">
        <f>IFERROR(GETPIVOTDATA("dato",'[1]evolucion mensual nacionali'!$A$4,"indicador","IRLANDA","mes",11,"año",2010),"-")</f>
        <v>-</v>
      </c>
      <c r="P8" s="204" t="str">
        <f t="shared" si="6"/>
        <v>-</v>
      </c>
      <c r="Q8" s="203" t="str">
        <f>IFERROR(GETPIVOTDATA("dato",'[1]evolucion mensual nacionali'!$A$4,"indicador","ITALIA","mes",11,"año",2010),"-")</f>
        <v>-</v>
      </c>
      <c r="R8" s="204" t="str">
        <f t="shared" si="7"/>
        <v>-</v>
      </c>
      <c r="S8" s="203" t="e">
        <f t="shared" ref="S8:S19" si="23">U8+W8+Y8+AA8</f>
        <v>#VALUE!</v>
      </c>
      <c r="T8" s="204" t="str">
        <f t="shared" si="8"/>
        <v>-</v>
      </c>
      <c r="U8" s="203" t="str">
        <f>IFERROR(GETPIVOTDATA("dato",'[1]evolucion mensual nacionali'!$A$4,"indicador","SUECIA","mes",11,"año",2010),"-")</f>
        <v>-</v>
      </c>
      <c r="V8" s="204" t="str">
        <f t="shared" si="9"/>
        <v>-</v>
      </c>
      <c r="W8" s="203" t="str">
        <f>IFERROR(GETPIVOTDATA("dato",'[1]evolucion mensual nacionali'!$A$4,"indicador","NORUEGA","mes",11,"año",2010),"-")</f>
        <v>-</v>
      </c>
      <c r="X8" s="204" t="str">
        <f t="shared" si="10"/>
        <v>-</v>
      </c>
      <c r="Y8" s="203" t="str">
        <f>IFERROR(GETPIVOTDATA("dato",'[1]evolucion mensual nacionali'!$A$4,"indicador","DINAMARCA","mes",11,"año",2010),"-")</f>
        <v>-</v>
      </c>
      <c r="Z8" s="204" t="str">
        <f t="shared" si="11"/>
        <v>-</v>
      </c>
      <c r="AA8" s="203" t="str">
        <f>IFERROR(GETPIVOTDATA("dato",'[1]evolucion mensual nacionali'!$A$4,"indicador","FINLANDIA","mes",11,"año",2010),"-")</f>
        <v>-</v>
      </c>
      <c r="AB8" s="204" t="str">
        <f t="shared" si="12"/>
        <v>-</v>
      </c>
      <c r="AC8" s="203" t="str">
        <f>IFERROR(GETPIVOTDATA("dato",'[1]evolucion mensual nacionali'!$A$4,"indicador","SUIZA","mes",11,"año",2010),"-")</f>
        <v>-</v>
      </c>
      <c r="AD8" s="204" t="str">
        <f t="shared" si="13"/>
        <v>-</v>
      </c>
      <c r="AE8" s="203" t="str">
        <f>IFERROR(GETPIVOTDATA("dato",'[1]evolucion mensual nacionali'!$A$4,"indicador","AUSTRIA","mes",11,"año",2010),"-")</f>
        <v>-</v>
      </c>
      <c r="AF8" s="204" t="str">
        <f t="shared" si="14"/>
        <v>-</v>
      </c>
      <c r="AG8" s="203" t="str">
        <f>IFERROR(GETPIVOTDATA("dato",'[1]evolucion mensual nacionali'!$A$4,"indicador","RUSIA","mes",11,"año",2010),"-")</f>
        <v>-</v>
      </c>
      <c r="AH8" s="204" t="str">
        <f t="shared" si="15"/>
        <v>-</v>
      </c>
      <c r="AI8" s="203" t="str">
        <f>IFERROR(GETPIVOTDATA("dato",'[1]evolucion mensual nacionali'!$A$4,"indicador","PAÍSES DEL ESTE","mes",11,"año",2010),"-")</f>
        <v>-</v>
      </c>
      <c r="AJ8" s="204" t="str">
        <f t="shared" si="16"/>
        <v>-</v>
      </c>
      <c r="AK8" s="203" t="str">
        <f>IFERROR(GETPIVOTDATA("dato",'[1]evolucion mensual nacionali'!$A$4,"indicador","RESTO DE EUROPA","mes",11,"año",2010),"-")</f>
        <v>-</v>
      </c>
      <c r="AL8" s="204" t="str">
        <f t="shared" si="17"/>
        <v>-</v>
      </c>
      <c r="AM8" s="203" t="str">
        <f>IFERROR(GETPIVOTDATA("dato",'[1]evolucion mensual nacionali'!$A$4,"indicador","USA","mes",11,"año",2010),"-")</f>
        <v>-</v>
      </c>
      <c r="AN8" s="204" t="str">
        <f t="shared" si="18"/>
        <v>-</v>
      </c>
      <c r="AO8" s="203" t="str">
        <f>IFERROR(GETPIVOTDATA("dato",'[1]evolucion mensual nacionali'!$A$4,"indicador","RESTO DE AMÉRICA","mes",11,"año",2010),"-")</f>
        <v>-</v>
      </c>
      <c r="AP8" s="204" t="str">
        <f t="shared" si="19"/>
        <v>-</v>
      </c>
      <c r="AQ8" s="203" t="str">
        <f>IFERROR(GETPIVOTDATA("dato",'[1]evolucion mensual nacionali'!$A$4,"indicador","RESTO DEL MUNDO","mes",11,"año",2010),"-")</f>
        <v>-</v>
      </c>
      <c r="AR8" s="204" t="str">
        <f t="shared" si="20"/>
        <v>-</v>
      </c>
      <c r="AS8" s="203" t="e">
        <f t="shared" ref="AS8:AS19" si="24">AU8-C8</f>
        <v>#VALUE!</v>
      </c>
      <c r="AT8" s="204" t="str">
        <f t="shared" si="21"/>
        <v>-</v>
      </c>
      <c r="AU8" s="205" t="str">
        <f>IFERROR(GETPIVOTDATA("dato",'[1]evolucion mensual nacionali'!$A$4,"indicador","TOTAL","mes",11,"año",2010),"-")</f>
        <v>-</v>
      </c>
      <c r="AV8" s="206" t="str">
        <f t="shared" si="22"/>
        <v>-</v>
      </c>
    </row>
    <row r="9" spans="2:49" hidden="1">
      <c r="B9" s="51" t="s">
        <v>39</v>
      </c>
      <c r="C9" s="203" t="str">
        <f>IFERROR(GETPIVOTDATA("dato",'[1]evolucion mensual nacionali'!$A$4,"indicador","España","mes",10,"año",2010),"-")</f>
        <v>-</v>
      </c>
      <c r="D9" s="204" t="str">
        <f t="shared" si="0"/>
        <v>-</v>
      </c>
      <c r="E9" s="203" t="str">
        <f>IFERROR(GETPIVOTDATA("dato",'[1]evolucion mensual nacionali'!$A$4,"indicador","HOLANDA","mes",10,"año",2010),"-")</f>
        <v>-</v>
      </c>
      <c r="F9" s="204" t="str">
        <f t="shared" si="1"/>
        <v>-</v>
      </c>
      <c r="G9" s="203" t="str">
        <f>IFERROR(GETPIVOTDATA("dato",'[1]evolucion mensual nacionali'!$A$4,"indicador","BÉLGICA","mes",10,"año",2010),"-")</f>
        <v>-</v>
      </c>
      <c r="H9" s="204" t="str">
        <f t="shared" si="2"/>
        <v>-</v>
      </c>
      <c r="I9" s="203" t="str">
        <f>IFERROR(GETPIVOTDATA("dato",'[1]evolucion mensual nacionali'!$A$4,"indicador","ALEMANIA","mes",10,"año",2010),"-")</f>
        <v>-</v>
      </c>
      <c r="J9" s="204" t="str">
        <f t="shared" si="3"/>
        <v>-</v>
      </c>
      <c r="K9" s="203" t="str">
        <f>IFERROR(GETPIVOTDATA("dato",'[1]evolucion mensual nacionali'!$A$4,"indicador","FRANCIA","mes",10,"año",2010),"-")</f>
        <v>-</v>
      </c>
      <c r="L9" s="204" t="str">
        <f t="shared" si="4"/>
        <v>-</v>
      </c>
      <c r="M9" s="203" t="str">
        <f>IFERROR(GETPIVOTDATA("dato",'[1]evolucion mensual nacionali'!$A$4,"indicador","REINO UNIDO","mes",10,"año",2010),"-")</f>
        <v>-</v>
      </c>
      <c r="N9" s="204" t="str">
        <f t="shared" si="5"/>
        <v>-</v>
      </c>
      <c r="O9" s="203" t="str">
        <f>IFERROR(GETPIVOTDATA("dato",'[1]evolucion mensual nacionali'!$A$4,"indicador","IRLANDA","mes",10,"año",2010),"-")</f>
        <v>-</v>
      </c>
      <c r="P9" s="204" t="str">
        <f t="shared" si="6"/>
        <v>-</v>
      </c>
      <c r="Q9" s="203" t="str">
        <f>IFERROR(GETPIVOTDATA("dato",'[1]evolucion mensual nacionali'!$A$4,"indicador","ITALIA","mes",10,"año",2010),"-")</f>
        <v>-</v>
      </c>
      <c r="R9" s="204" t="str">
        <f t="shared" si="7"/>
        <v>-</v>
      </c>
      <c r="S9" s="203" t="e">
        <f t="shared" si="23"/>
        <v>#VALUE!</v>
      </c>
      <c r="T9" s="204" t="str">
        <f t="shared" si="8"/>
        <v>-</v>
      </c>
      <c r="U9" s="203" t="str">
        <f>IFERROR(GETPIVOTDATA("dato",'[1]evolucion mensual nacionali'!$A$4,"indicador","SUECIA","mes",10,"año",2010),"-")</f>
        <v>-</v>
      </c>
      <c r="V9" s="204" t="str">
        <f t="shared" si="9"/>
        <v>-</v>
      </c>
      <c r="W9" s="203" t="str">
        <f>IFERROR(GETPIVOTDATA("dato",'[1]evolucion mensual nacionali'!$A$4,"indicador","NORUEGA","mes",10,"año",2010),"-")</f>
        <v>-</v>
      </c>
      <c r="X9" s="204" t="str">
        <f t="shared" si="10"/>
        <v>-</v>
      </c>
      <c r="Y9" s="203" t="str">
        <f>IFERROR(GETPIVOTDATA("dato",'[1]evolucion mensual nacionali'!$A$4,"indicador","DINAMARCA","mes",10,"año",2010),"-")</f>
        <v>-</v>
      </c>
      <c r="Z9" s="204" t="str">
        <f t="shared" si="11"/>
        <v>-</v>
      </c>
      <c r="AA9" s="203" t="str">
        <f>IFERROR(GETPIVOTDATA("dato",'[1]evolucion mensual nacionali'!$A$4,"indicador","FINLANDIA","mes",10,"año",2010),"-")</f>
        <v>-</v>
      </c>
      <c r="AB9" s="204" t="str">
        <f t="shared" si="12"/>
        <v>-</v>
      </c>
      <c r="AC9" s="203" t="str">
        <f>IFERROR(GETPIVOTDATA("dato",'[1]evolucion mensual nacionali'!$A$4,"indicador","SUIZA","mes",10,"año",2010),"-")</f>
        <v>-</v>
      </c>
      <c r="AD9" s="204" t="str">
        <f t="shared" si="13"/>
        <v>-</v>
      </c>
      <c r="AE9" s="203" t="str">
        <f>IFERROR(GETPIVOTDATA("dato",'[1]evolucion mensual nacionali'!$A$4,"indicador","AUSTRIA","mes",10,"año",2010),"-")</f>
        <v>-</v>
      </c>
      <c r="AF9" s="204" t="str">
        <f t="shared" si="14"/>
        <v>-</v>
      </c>
      <c r="AG9" s="203" t="str">
        <f>IFERROR(GETPIVOTDATA("dato",'[1]evolucion mensual nacionali'!$A$4,"indicador","RUSIA","mes",10,"año",2010),"-")</f>
        <v>-</v>
      </c>
      <c r="AH9" s="204" t="str">
        <f t="shared" si="15"/>
        <v>-</v>
      </c>
      <c r="AI9" s="203" t="str">
        <f>IFERROR(GETPIVOTDATA("dato",'[1]evolucion mensual nacionali'!$A$4,"indicador","PAÍSES DEL ESTE","mes",10,"año",2010),"-")</f>
        <v>-</v>
      </c>
      <c r="AJ9" s="204" t="str">
        <f t="shared" si="16"/>
        <v>-</v>
      </c>
      <c r="AK9" s="203" t="str">
        <f>IFERROR(GETPIVOTDATA("dato",'[1]evolucion mensual nacionali'!$A$4,"indicador","RESTO DE EUROPA","mes",10,"año",2010),"-")</f>
        <v>-</v>
      </c>
      <c r="AL9" s="204" t="str">
        <f t="shared" si="17"/>
        <v>-</v>
      </c>
      <c r="AM9" s="203" t="str">
        <f>IFERROR(GETPIVOTDATA("dato",'[1]evolucion mensual nacionali'!$A$4,"indicador","USA","mes",10,"año",2010),"-")</f>
        <v>-</v>
      </c>
      <c r="AN9" s="204" t="str">
        <f t="shared" si="18"/>
        <v>-</v>
      </c>
      <c r="AO9" s="203" t="str">
        <f>IFERROR(GETPIVOTDATA("dato",'[1]evolucion mensual nacionali'!$A$4,"indicador","RESTO DE AMÉRICA","mes",10,"año",2010),"-")</f>
        <v>-</v>
      </c>
      <c r="AP9" s="204" t="str">
        <f t="shared" si="19"/>
        <v>-</v>
      </c>
      <c r="AQ9" s="203" t="str">
        <f>IFERROR(GETPIVOTDATA("dato",'[1]evolucion mensual nacionali'!$A$4,"indicador","RESTO DEL MUNDO","mes",10,"año",2010),"-")</f>
        <v>-</v>
      </c>
      <c r="AR9" s="204" t="str">
        <f t="shared" si="20"/>
        <v>-</v>
      </c>
      <c r="AS9" s="203" t="e">
        <f t="shared" si="24"/>
        <v>#VALUE!</v>
      </c>
      <c r="AT9" s="204" t="str">
        <f t="shared" si="21"/>
        <v>-</v>
      </c>
      <c r="AU9" s="205" t="str">
        <f>IFERROR(GETPIVOTDATA("dato",'[1]evolucion mensual nacionali'!$A$4,"indicador","TOTAL","mes",10,"año",2010),"-")</f>
        <v>-</v>
      </c>
      <c r="AV9" s="206" t="str">
        <f t="shared" si="22"/>
        <v>-</v>
      </c>
    </row>
    <row r="10" spans="2:49" hidden="1">
      <c r="B10" s="51" t="s">
        <v>40</v>
      </c>
      <c r="C10" s="203" t="str">
        <f>IFERROR(GETPIVOTDATA("dato",'[1]evolucion mensual nacionali'!$A$4,"indicador","España","mes",9,"año",2010),"-")</f>
        <v>-</v>
      </c>
      <c r="D10" s="204" t="str">
        <f t="shared" si="0"/>
        <v>-</v>
      </c>
      <c r="E10" s="203" t="str">
        <f>IFERROR(GETPIVOTDATA("dato",'[1]evolucion mensual nacionali'!$A$4,"indicador","HOLANDA","mes",9,"año",2010),"-")</f>
        <v>-</v>
      </c>
      <c r="F10" s="204" t="str">
        <f t="shared" si="1"/>
        <v>-</v>
      </c>
      <c r="G10" s="203" t="str">
        <f>IFERROR(GETPIVOTDATA("dato",'[1]evolucion mensual nacionali'!$A$4,"indicador","BÉLGICA","mes",9,"año",2010),"-")</f>
        <v>-</v>
      </c>
      <c r="H10" s="204" t="str">
        <f t="shared" si="2"/>
        <v>-</v>
      </c>
      <c r="I10" s="203" t="str">
        <f>IFERROR(GETPIVOTDATA("dato",'[1]evolucion mensual nacionali'!$A$4,"indicador","ALEMANIA","mes",9,"año",2010),"-")</f>
        <v>-</v>
      </c>
      <c r="J10" s="204" t="str">
        <f t="shared" si="3"/>
        <v>-</v>
      </c>
      <c r="K10" s="203" t="str">
        <f>IFERROR(GETPIVOTDATA("dato",'[1]evolucion mensual nacionali'!$A$4,"indicador","FRANCIA","mes",9,"año",2010),"-")</f>
        <v>-</v>
      </c>
      <c r="L10" s="204" t="str">
        <f t="shared" si="4"/>
        <v>-</v>
      </c>
      <c r="M10" s="203" t="str">
        <f>IFERROR(GETPIVOTDATA("dato",'[1]evolucion mensual nacionali'!$A$4,"indicador","REINO UNIDO","mes",9,"año",2010),"-")</f>
        <v>-</v>
      </c>
      <c r="N10" s="204" t="str">
        <f t="shared" si="5"/>
        <v>-</v>
      </c>
      <c r="O10" s="203" t="str">
        <f>IFERROR(GETPIVOTDATA("dato",'[1]evolucion mensual nacionali'!$A$4,"indicador","IRLANDA","mes",9,"año",2010),"-")</f>
        <v>-</v>
      </c>
      <c r="P10" s="204" t="str">
        <f t="shared" si="6"/>
        <v>-</v>
      </c>
      <c r="Q10" s="203" t="str">
        <f>IFERROR(GETPIVOTDATA("dato",'[1]evolucion mensual nacionali'!$A$4,"indicador","ITALIA","mes",9,"año",2010),"-")</f>
        <v>-</v>
      </c>
      <c r="R10" s="204" t="str">
        <f t="shared" si="7"/>
        <v>-</v>
      </c>
      <c r="S10" s="203" t="e">
        <f t="shared" si="23"/>
        <v>#VALUE!</v>
      </c>
      <c r="T10" s="204" t="str">
        <f t="shared" si="8"/>
        <v>-</v>
      </c>
      <c r="U10" s="203" t="str">
        <f>IFERROR(GETPIVOTDATA("dato",'[1]evolucion mensual nacionali'!$A$4,"indicador","SUECIA","mes",9,"año",2010),"-")</f>
        <v>-</v>
      </c>
      <c r="V10" s="204" t="str">
        <f t="shared" si="9"/>
        <v>-</v>
      </c>
      <c r="W10" s="203" t="str">
        <f>IFERROR(GETPIVOTDATA("dato",'[1]evolucion mensual nacionali'!$A$4,"indicador","NORUEGA","mes",9,"año",2010),"-")</f>
        <v>-</v>
      </c>
      <c r="X10" s="204" t="str">
        <f t="shared" si="10"/>
        <v>-</v>
      </c>
      <c r="Y10" s="203" t="str">
        <f>IFERROR(GETPIVOTDATA("dato",'[1]evolucion mensual nacionali'!$A$4,"indicador","DINAMARCA","mes",9,"año",2010),"-")</f>
        <v>-</v>
      </c>
      <c r="Z10" s="204" t="str">
        <f t="shared" si="11"/>
        <v>-</v>
      </c>
      <c r="AA10" s="203" t="str">
        <f>IFERROR(GETPIVOTDATA("dato",'[1]evolucion mensual nacionali'!$A$4,"indicador","FINLANDIA","mes",9,"año",2010),"-")</f>
        <v>-</v>
      </c>
      <c r="AB10" s="204" t="str">
        <f t="shared" si="12"/>
        <v>-</v>
      </c>
      <c r="AC10" s="203" t="str">
        <f>IFERROR(GETPIVOTDATA("dato",'[1]evolucion mensual nacionali'!$A$4,"indicador","SUIZA","mes",9,"año",2010),"-")</f>
        <v>-</v>
      </c>
      <c r="AD10" s="204" t="str">
        <f t="shared" si="13"/>
        <v>-</v>
      </c>
      <c r="AE10" s="203" t="str">
        <f>IFERROR(GETPIVOTDATA("dato",'[1]evolucion mensual nacionali'!$A$4,"indicador","AUSTRIA","mes",9,"año",2010),"-")</f>
        <v>-</v>
      </c>
      <c r="AF10" s="204" t="str">
        <f t="shared" si="14"/>
        <v>-</v>
      </c>
      <c r="AG10" s="203" t="str">
        <f>IFERROR(GETPIVOTDATA("dato",'[1]evolucion mensual nacionali'!$A$4,"indicador","RUSIA","mes",9,"año",2010),"-")</f>
        <v>-</v>
      </c>
      <c r="AH10" s="204" t="str">
        <f t="shared" si="15"/>
        <v>-</v>
      </c>
      <c r="AI10" s="203" t="str">
        <f>IFERROR(GETPIVOTDATA("dato",'[1]evolucion mensual nacionali'!$A$4,"indicador","PAÍSES DEL ESTE","mes",9,"año",2010),"-")</f>
        <v>-</v>
      </c>
      <c r="AJ10" s="204" t="str">
        <f t="shared" si="16"/>
        <v>-</v>
      </c>
      <c r="AK10" s="203" t="str">
        <f>IFERROR(GETPIVOTDATA("dato",'[1]evolucion mensual nacionali'!$A$4,"indicador","RESTO DE EUROPA","mes",9,"año",2010),"-")</f>
        <v>-</v>
      </c>
      <c r="AL10" s="204" t="str">
        <f t="shared" si="17"/>
        <v>-</v>
      </c>
      <c r="AM10" s="203" t="str">
        <f>IFERROR(GETPIVOTDATA("dato",'[1]evolucion mensual nacionali'!$A$4,"indicador","USA","mes",9,"año",2010),"-")</f>
        <v>-</v>
      </c>
      <c r="AN10" s="204" t="str">
        <f t="shared" si="18"/>
        <v>-</v>
      </c>
      <c r="AO10" s="203" t="str">
        <f>IFERROR(GETPIVOTDATA("dato",'[1]evolucion mensual nacionali'!$A$4,"indicador","RESTO DE AMÉRICA","mes",9,"año",2010),"-")</f>
        <v>-</v>
      </c>
      <c r="AP10" s="204" t="str">
        <f t="shared" si="19"/>
        <v>-</v>
      </c>
      <c r="AQ10" s="203" t="str">
        <f>IFERROR(GETPIVOTDATA("dato",'[1]evolucion mensual nacionali'!$A$4,"indicador","RESTO DEL MUNDO","mes",9,"año",2010),"-")</f>
        <v>-</v>
      </c>
      <c r="AR10" s="204" t="str">
        <f t="shared" si="20"/>
        <v>-</v>
      </c>
      <c r="AS10" s="203" t="e">
        <f t="shared" si="24"/>
        <v>#VALUE!</v>
      </c>
      <c r="AT10" s="204" t="str">
        <f t="shared" si="21"/>
        <v>-</v>
      </c>
      <c r="AU10" s="205" t="str">
        <f>IFERROR(GETPIVOTDATA("dato",'[1]evolucion mensual nacionali'!$A$4,"indicador","TOTAL","mes",9,"año",2010),"-")</f>
        <v>-</v>
      </c>
      <c r="AV10" s="206" t="str">
        <f t="shared" si="22"/>
        <v>-</v>
      </c>
    </row>
    <row r="11" spans="2:49" hidden="1">
      <c r="B11" s="51" t="s">
        <v>41</v>
      </c>
      <c r="C11" s="203" t="str">
        <f>IFERROR(GETPIVOTDATA("dato",'[1]evolucion mensual nacionali'!$A$4,"indicador","España","mes",8,"año",2010),"-")</f>
        <v>-</v>
      </c>
      <c r="D11" s="204" t="str">
        <f t="shared" si="0"/>
        <v>-</v>
      </c>
      <c r="E11" s="203" t="str">
        <f>IFERROR(GETPIVOTDATA("dato",'[1]evolucion mensual nacionali'!$A$4,"indicador","HOLANDA","mes",8,"año",2010),"-")</f>
        <v>-</v>
      </c>
      <c r="F11" s="204" t="str">
        <f t="shared" si="1"/>
        <v>-</v>
      </c>
      <c r="G11" s="203" t="str">
        <f>IFERROR(GETPIVOTDATA("dato",'[1]evolucion mensual nacionali'!$A$4,"indicador","BÉLGICA","mes",8,"año",2010),"-")</f>
        <v>-</v>
      </c>
      <c r="H11" s="204" t="str">
        <f t="shared" si="2"/>
        <v>-</v>
      </c>
      <c r="I11" s="203" t="str">
        <f>IFERROR(GETPIVOTDATA("dato",'[1]evolucion mensual nacionali'!$A$4,"indicador","ALEMANIA","mes",8,"año",2010),"-")</f>
        <v>-</v>
      </c>
      <c r="J11" s="204" t="str">
        <f t="shared" si="3"/>
        <v>-</v>
      </c>
      <c r="K11" s="203" t="str">
        <f>IFERROR(GETPIVOTDATA("dato",'[1]evolucion mensual nacionali'!$A$4,"indicador","FRANCIA","mes",8,"año",2010),"-")</f>
        <v>-</v>
      </c>
      <c r="L11" s="204" t="str">
        <f t="shared" si="4"/>
        <v>-</v>
      </c>
      <c r="M11" s="203" t="str">
        <f>IFERROR(GETPIVOTDATA("dato",'[1]evolucion mensual nacionali'!$A$4,"indicador","REINO UNIDO","mes",8,"año",2010),"-")</f>
        <v>-</v>
      </c>
      <c r="N11" s="204" t="str">
        <f t="shared" si="5"/>
        <v>-</v>
      </c>
      <c r="O11" s="203" t="str">
        <f>IFERROR(GETPIVOTDATA("dato",'[1]evolucion mensual nacionali'!$A$4,"indicador","IRLANDA","mes",8,"año",2010),"-")</f>
        <v>-</v>
      </c>
      <c r="P11" s="204" t="str">
        <f t="shared" si="6"/>
        <v>-</v>
      </c>
      <c r="Q11" s="203" t="str">
        <f>IFERROR(GETPIVOTDATA("dato",'[1]evolucion mensual nacionali'!$A$4,"indicador","ITALIA","mes",8,"año",2010),"-")</f>
        <v>-</v>
      </c>
      <c r="R11" s="204" t="str">
        <f t="shared" si="7"/>
        <v>-</v>
      </c>
      <c r="S11" s="203" t="e">
        <f t="shared" si="23"/>
        <v>#VALUE!</v>
      </c>
      <c r="T11" s="204" t="str">
        <f t="shared" si="8"/>
        <v>-</v>
      </c>
      <c r="U11" s="203" t="str">
        <f>IFERROR(GETPIVOTDATA("dato",'[1]evolucion mensual nacionali'!$A$4,"indicador","SUECIA","mes",8,"año",2010),"-")</f>
        <v>-</v>
      </c>
      <c r="V11" s="204" t="str">
        <f t="shared" si="9"/>
        <v>-</v>
      </c>
      <c r="W11" s="203" t="str">
        <f>IFERROR(GETPIVOTDATA("dato",'[1]evolucion mensual nacionali'!$A$4,"indicador","NORUEGA","mes",8,"año",2010),"-")</f>
        <v>-</v>
      </c>
      <c r="X11" s="204" t="str">
        <f t="shared" si="10"/>
        <v>-</v>
      </c>
      <c r="Y11" s="203" t="str">
        <f>IFERROR(GETPIVOTDATA("dato",'[1]evolucion mensual nacionali'!$A$4,"indicador","DINAMARCA","mes",8,"año",2010),"-")</f>
        <v>-</v>
      </c>
      <c r="Z11" s="204" t="str">
        <f t="shared" si="11"/>
        <v>-</v>
      </c>
      <c r="AA11" s="203" t="str">
        <f>IFERROR(GETPIVOTDATA("dato",'[1]evolucion mensual nacionali'!$A$4,"indicador","FINLANDIA","mes",8,"año",2010),"-")</f>
        <v>-</v>
      </c>
      <c r="AB11" s="204" t="str">
        <f t="shared" si="12"/>
        <v>-</v>
      </c>
      <c r="AC11" s="203" t="str">
        <f>IFERROR(GETPIVOTDATA("dato",'[1]evolucion mensual nacionali'!$A$4,"indicador","SUIZA","mes",8,"año",2010),"-")</f>
        <v>-</v>
      </c>
      <c r="AD11" s="204" t="str">
        <f t="shared" si="13"/>
        <v>-</v>
      </c>
      <c r="AE11" s="203" t="str">
        <f>IFERROR(GETPIVOTDATA("dato",'[1]evolucion mensual nacionali'!$A$4,"indicador","AUSTRIA","mes",8,"año",2010),"-")</f>
        <v>-</v>
      </c>
      <c r="AF11" s="204" t="str">
        <f t="shared" si="14"/>
        <v>-</v>
      </c>
      <c r="AG11" s="203" t="str">
        <f>IFERROR(GETPIVOTDATA("dato",'[1]evolucion mensual nacionali'!$A$4,"indicador","RUSIA","mes",8,"año",2010),"-")</f>
        <v>-</v>
      </c>
      <c r="AH11" s="204" t="str">
        <f t="shared" si="15"/>
        <v>-</v>
      </c>
      <c r="AI11" s="203" t="str">
        <f>IFERROR(GETPIVOTDATA("dato",'[1]evolucion mensual nacionali'!$A$4,"indicador","PAÍSES DEL ESTE","mes",8,"año",2010),"-")</f>
        <v>-</v>
      </c>
      <c r="AJ11" s="204" t="str">
        <f t="shared" si="16"/>
        <v>-</v>
      </c>
      <c r="AK11" s="203" t="str">
        <f>IFERROR(GETPIVOTDATA("dato",'[1]evolucion mensual nacionali'!$A$4,"indicador","RESTO DE EUROPA","mes",8,"año",2010),"-")</f>
        <v>-</v>
      </c>
      <c r="AL11" s="204" t="str">
        <f t="shared" si="17"/>
        <v>-</v>
      </c>
      <c r="AM11" s="203" t="str">
        <f>IFERROR(GETPIVOTDATA("dato",'[1]evolucion mensual nacionali'!$A$4,"indicador","USA","mes",8,"año",2010),"-")</f>
        <v>-</v>
      </c>
      <c r="AN11" s="204" t="str">
        <f t="shared" si="18"/>
        <v>-</v>
      </c>
      <c r="AO11" s="203" t="str">
        <f>IFERROR(GETPIVOTDATA("dato",'[1]evolucion mensual nacionali'!$A$4,"indicador","RESTO DE AMÉRICA","mes",8,"año",2010),"-")</f>
        <v>-</v>
      </c>
      <c r="AP11" s="204" t="str">
        <f t="shared" si="19"/>
        <v>-</v>
      </c>
      <c r="AQ11" s="203" t="str">
        <f>IFERROR(GETPIVOTDATA("dato",'[1]evolucion mensual nacionali'!$A$4,"indicador","RESTO DEL MUNDO","mes",8,"año",2010),"-")</f>
        <v>-</v>
      </c>
      <c r="AR11" s="204" t="str">
        <f t="shared" si="20"/>
        <v>-</v>
      </c>
      <c r="AS11" s="203" t="e">
        <f t="shared" si="24"/>
        <v>#VALUE!</v>
      </c>
      <c r="AT11" s="204" t="str">
        <f t="shared" si="21"/>
        <v>-</v>
      </c>
      <c r="AU11" s="205" t="str">
        <f>IFERROR(GETPIVOTDATA("dato",'[1]evolucion mensual nacionali'!$A$4,"indicador","TOTAL","mes",8,"año",2010),"-")</f>
        <v>-</v>
      </c>
      <c r="AV11" s="206" t="str">
        <f t="shared" si="22"/>
        <v>-</v>
      </c>
    </row>
    <row r="12" spans="2:49">
      <c r="B12" s="51" t="s">
        <v>42</v>
      </c>
      <c r="C12" s="203">
        <f>IFERROR(GETPIVOTDATA("dato",'[1]evolucion mensual nacionali'!$A$4,"indicador","España","mes",7,"año",2010),"-")</f>
        <v>47374</v>
      </c>
      <c r="D12" s="204">
        <f t="shared" si="0"/>
        <v>-9.3473578553354697E-3</v>
      </c>
      <c r="E12" s="203">
        <f>IFERROR(GETPIVOTDATA("dato",'[1]evolucion mensual nacionali'!$A$4,"indicador","HOLANDA","mes",7,"año",2010),"-")</f>
        <v>5746</v>
      </c>
      <c r="F12" s="204">
        <f t="shared" si="1"/>
        <v>-0.17192679060383342</v>
      </c>
      <c r="G12" s="203">
        <f>IFERROR(GETPIVOTDATA("dato",'[1]evolucion mensual nacionali'!$A$4,"indicador","BÉLGICA","mes",7,"año",2010),"-")</f>
        <v>6241</v>
      </c>
      <c r="H12" s="204">
        <f t="shared" si="2"/>
        <v>9.9929502996122688E-2</v>
      </c>
      <c r="I12" s="203">
        <f>IFERROR(GETPIVOTDATA("dato",'[1]evolucion mensual nacionali'!$A$4,"indicador","ALEMANIA","mes",7,"año",2010),"-")</f>
        <v>18520</v>
      </c>
      <c r="J12" s="204">
        <f t="shared" si="3"/>
        <v>4.638680151420993E-2</v>
      </c>
      <c r="K12" s="203">
        <f>IFERROR(GETPIVOTDATA("dato",'[1]evolucion mensual nacionali'!$A$4,"indicador","FRANCIA","mes",7,"año",2010),"-")</f>
        <v>3998</v>
      </c>
      <c r="L12" s="204">
        <f t="shared" si="4"/>
        <v>0.33891493636972547</v>
      </c>
      <c r="M12" s="203">
        <f>IFERROR(GETPIVOTDATA("dato",'[1]evolucion mensual nacionali'!$A$4,"indicador","REINO UNIDO","mes",7,"año",2010),"-")</f>
        <v>49876</v>
      </c>
      <c r="N12" s="204">
        <f t="shared" si="5"/>
        <v>9.6778449697636049E-2</v>
      </c>
      <c r="O12" s="203">
        <f>IFERROR(GETPIVOTDATA("dato",'[1]evolucion mensual nacionali'!$A$4,"indicador","IRLANDA","mes",7,"año",2010),"-")</f>
        <v>2146</v>
      </c>
      <c r="P12" s="204">
        <f t="shared" si="6"/>
        <v>-5.5873295204575402E-2</v>
      </c>
      <c r="Q12" s="203">
        <f>IFERROR(GETPIVOTDATA("dato",'[1]evolucion mensual nacionali'!$A$4,"indicador","ITALIA","mes",7,"año",2010),"-")</f>
        <v>3797</v>
      </c>
      <c r="R12" s="204">
        <f t="shared" si="7"/>
        <v>0.2954622995564653</v>
      </c>
      <c r="S12" s="203">
        <f t="shared" si="23"/>
        <v>3060</v>
      </c>
      <c r="T12" s="204">
        <f t="shared" si="8"/>
        <v>-1.098901098901095E-2</v>
      </c>
      <c r="U12" s="203">
        <f>IFERROR(GETPIVOTDATA("dato",'[1]evolucion mensual nacionali'!$A$4,"indicador","SUECIA","mes",7,"año",2010),"-")</f>
        <v>1259</v>
      </c>
      <c r="V12" s="204">
        <f t="shared" si="9"/>
        <v>1.4504431909750259E-2</v>
      </c>
      <c r="W12" s="203">
        <f>IFERROR(GETPIVOTDATA("dato",'[1]evolucion mensual nacionali'!$A$4,"indicador","NORUEGA","mes",7,"año",2010),"-")</f>
        <v>960</v>
      </c>
      <c r="X12" s="204">
        <f t="shared" si="10"/>
        <v>0.30434782608695654</v>
      </c>
      <c r="Y12" s="203">
        <f>IFERROR(GETPIVOTDATA("dato",'[1]evolucion mensual nacionali'!$A$4,"indicador","DINAMARCA","mes",7,"año",2010),"-")</f>
        <v>720</v>
      </c>
      <c r="Z12" s="204">
        <f t="shared" si="11"/>
        <v>-0.21311475409836067</v>
      </c>
      <c r="AA12" s="203">
        <f>IFERROR(GETPIVOTDATA("dato",'[1]evolucion mensual nacionali'!$A$4,"indicador","FINLANDIA","mes",7,"año",2010),"-")</f>
        <v>121</v>
      </c>
      <c r="AB12" s="204">
        <f t="shared" si="12"/>
        <v>-0.40099009900990101</v>
      </c>
      <c r="AC12" s="203">
        <f>IFERROR(GETPIVOTDATA("dato",'[1]evolucion mensual nacionali'!$A$4,"indicador","SUIZA","mes",7,"año",2010),"-")</f>
        <v>1418</v>
      </c>
      <c r="AD12" s="204">
        <f t="shared" si="13"/>
        <v>-2.4088093599449412E-2</v>
      </c>
      <c r="AE12" s="203">
        <f>IFERROR(GETPIVOTDATA("dato",'[1]evolucion mensual nacionali'!$A$4,"indicador","AUSTRIA","mes",7,"año",2010),"-")</f>
        <v>1339</v>
      </c>
      <c r="AF12" s="204">
        <f t="shared" si="14"/>
        <v>0.64294478527607368</v>
      </c>
      <c r="AG12" s="203">
        <f>IFERROR(GETPIVOTDATA("dato",'[1]evolucion mensual nacionali'!$A$4,"indicador","RUSIA","mes",7,"año",2010),"-")</f>
        <v>6396</v>
      </c>
      <c r="AH12" s="204">
        <f t="shared" si="15"/>
        <v>0.52249464413234947</v>
      </c>
      <c r="AI12" s="203">
        <f>IFERROR(GETPIVOTDATA("dato",'[1]evolucion mensual nacionali'!$A$4,"indicador","PAÍSES DEL ESTE","mes",7,"año",2010),"-")</f>
        <v>5723</v>
      </c>
      <c r="AJ12" s="204">
        <f t="shared" si="16"/>
        <v>0.13754720731464909</v>
      </c>
      <c r="AK12" s="203">
        <f>IFERROR(GETPIVOTDATA("dato",'[1]evolucion mensual nacionali'!$A$4,"indicador","RESTO DE EUROPA","mes",7,"año",2010),"-")</f>
        <v>5551</v>
      </c>
      <c r="AL12" s="204">
        <f t="shared" si="17"/>
        <v>0.14335736354273942</v>
      </c>
      <c r="AM12" s="203">
        <f>IFERROR(GETPIVOTDATA("dato",'[1]evolucion mensual nacionali'!$A$4,"indicador","USA","mes",7,"año",2010),"-")</f>
        <v>323</v>
      </c>
      <c r="AN12" s="204">
        <f t="shared" si="18"/>
        <v>0.34583333333333344</v>
      </c>
      <c r="AO12" s="203">
        <f>IFERROR(GETPIVOTDATA("dato",'[1]evolucion mensual nacionali'!$A$4,"indicador","RESTO DE AMÉRICA","mes",7,"año",2010),"-")</f>
        <v>294</v>
      </c>
      <c r="AP12" s="204">
        <f t="shared" si="19"/>
        <v>-0.13529411764705879</v>
      </c>
      <c r="AQ12" s="203">
        <f>IFERROR(GETPIVOTDATA("dato",'[1]evolucion mensual nacionali'!$A$4,"indicador","RESTO DEL MUNDO","mes",7,"año",2010),"-")</f>
        <v>1569</v>
      </c>
      <c r="AR12" s="204">
        <f t="shared" si="20"/>
        <v>2.106930693069307</v>
      </c>
      <c r="AS12" s="203">
        <f t="shared" si="24"/>
        <v>115997</v>
      </c>
      <c r="AT12" s="204">
        <f t="shared" si="21"/>
        <v>0.10990230693419822</v>
      </c>
      <c r="AU12" s="205">
        <f>IFERROR(GETPIVOTDATA("dato",'[1]evolucion mensual nacionali'!$A$4,"indicador","TOTAL","mes",7,"año",2010),"-")</f>
        <v>163371</v>
      </c>
      <c r="AV12" s="206">
        <f t="shared" si="22"/>
        <v>7.2466717432975392E-2</v>
      </c>
    </row>
    <row r="13" spans="2:49">
      <c r="B13" s="51" t="s">
        <v>43</v>
      </c>
      <c r="C13" s="203">
        <f>IFERROR(GETPIVOTDATA("dato",'[1]evolucion mensual nacionali'!$A$4,"indicador","España","mes",6,"año",2010),"-")</f>
        <v>33192</v>
      </c>
      <c r="D13" s="204">
        <f t="shared" si="0"/>
        <v>1.5388793337558493E-3</v>
      </c>
      <c r="E13" s="203">
        <f>IFERROR(GETPIVOTDATA("dato",'[1]evolucion mensual nacionali'!$A$4,"indicador","HOLANDA","mes",6,"año",2010),"-")</f>
        <v>2532</v>
      </c>
      <c r="F13" s="204">
        <f t="shared" si="1"/>
        <v>-0.18427835051546393</v>
      </c>
      <c r="G13" s="203">
        <f>IFERROR(GETPIVOTDATA("dato",'[1]evolucion mensual nacionali'!$A$4,"indicador","BÉLGICA","mes",6,"año",2010),"-")</f>
        <v>4162</v>
      </c>
      <c r="H13" s="204">
        <f t="shared" si="2"/>
        <v>0.24760191846522783</v>
      </c>
      <c r="I13" s="203">
        <f>IFERROR(GETPIVOTDATA("dato",'[1]evolucion mensual nacionali'!$A$4,"indicador","ALEMANIA","mes",6,"año",2010),"-")</f>
        <v>17576</v>
      </c>
      <c r="J13" s="204">
        <f t="shared" si="3"/>
        <v>0.11430926266404606</v>
      </c>
      <c r="K13" s="203">
        <f>IFERROR(GETPIVOTDATA("dato",'[1]evolucion mensual nacionali'!$A$4,"indicador","FRANCIA","mes",6,"año",2010),"-")</f>
        <v>1911</v>
      </c>
      <c r="L13" s="204">
        <f t="shared" si="4"/>
        <v>3.9717083786724672E-2</v>
      </c>
      <c r="M13" s="203">
        <f>IFERROR(GETPIVOTDATA("dato",'[1]evolucion mensual nacionali'!$A$4,"indicador","REINO UNIDO","mes",6,"año",2010),"-")</f>
        <v>45854</v>
      </c>
      <c r="N13" s="204">
        <f t="shared" si="5"/>
        <v>0.12483748313504228</v>
      </c>
      <c r="O13" s="203">
        <f>IFERROR(GETPIVOTDATA("dato",'[1]evolucion mensual nacionali'!$A$4,"indicador","IRLANDA","mes",6,"año",2010),"-")</f>
        <v>1965</v>
      </c>
      <c r="P13" s="204">
        <f t="shared" si="6"/>
        <v>-0.11685393258426968</v>
      </c>
      <c r="Q13" s="203">
        <f>IFERROR(GETPIVOTDATA("dato",'[1]evolucion mensual nacionali'!$A$4,"indicador","ITALIA","mes",6,"año",2010),"-")</f>
        <v>2727</v>
      </c>
      <c r="R13" s="204">
        <f t="shared" si="7"/>
        <v>8.3863275039745666E-2</v>
      </c>
      <c r="S13" s="203">
        <f t="shared" si="23"/>
        <v>2608</v>
      </c>
      <c r="T13" s="204">
        <f t="shared" si="8"/>
        <v>4.3199999999999905E-2</v>
      </c>
      <c r="U13" s="203">
        <f>IFERROR(GETPIVOTDATA("dato",'[1]evolucion mensual nacionali'!$A$4,"indicador","SUECIA","mes",6,"año",2010),"-")</f>
        <v>1113</v>
      </c>
      <c r="V13" s="204">
        <f t="shared" si="9"/>
        <v>6.4053537284894935E-2</v>
      </c>
      <c r="W13" s="203">
        <f>IFERROR(GETPIVOTDATA("dato",'[1]evolucion mensual nacionali'!$A$4,"indicador","NORUEGA","mes",6,"año",2010),"-")</f>
        <v>692</v>
      </c>
      <c r="X13" s="204">
        <f t="shared" si="10"/>
        <v>0.69193154034229831</v>
      </c>
      <c r="Y13" s="203">
        <f>IFERROR(GETPIVOTDATA("dato",'[1]evolucion mensual nacionali'!$A$4,"indicador","DINAMARCA","mes",6,"año",2010),"-")</f>
        <v>700</v>
      </c>
      <c r="Z13" s="204">
        <f t="shared" si="11"/>
        <v>-0.291497975708502</v>
      </c>
      <c r="AA13" s="203">
        <f>IFERROR(GETPIVOTDATA("dato",'[1]evolucion mensual nacionali'!$A$4,"indicador","FINLANDIA","mes",6,"año",2010),"-")</f>
        <v>103</v>
      </c>
      <c r="AB13" s="204">
        <f t="shared" si="12"/>
        <v>0.80701754385964919</v>
      </c>
      <c r="AC13" s="203">
        <f>IFERROR(GETPIVOTDATA("dato",'[1]evolucion mensual nacionali'!$A$4,"indicador","SUIZA","mes",6,"año",2010),"-")</f>
        <v>806</v>
      </c>
      <c r="AD13" s="204">
        <f t="shared" si="13"/>
        <v>-0.24176857949200381</v>
      </c>
      <c r="AE13" s="203">
        <f>IFERROR(GETPIVOTDATA("dato",'[1]evolucion mensual nacionali'!$A$4,"indicador","AUSTRIA","mes",6,"año",2010),"-")</f>
        <v>855</v>
      </c>
      <c r="AF13" s="204">
        <f t="shared" si="14"/>
        <v>0.77754677754677748</v>
      </c>
      <c r="AG13" s="203">
        <f>IFERROR(GETPIVOTDATA("dato",'[1]evolucion mensual nacionali'!$A$4,"indicador","RUSIA","mes",6,"año",2010),"-")</f>
        <v>4158</v>
      </c>
      <c r="AH13" s="204">
        <f t="shared" si="15"/>
        <v>0.14861878453038679</v>
      </c>
      <c r="AI13" s="203">
        <f>IFERROR(GETPIVOTDATA("dato",'[1]evolucion mensual nacionali'!$A$4,"indicador","PAÍSES DEL ESTE","mes",6,"año",2010),"-")</f>
        <v>4831</v>
      </c>
      <c r="AJ13" s="204">
        <f t="shared" si="16"/>
        <v>-0.16692533195378512</v>
      </c>
      <c r="AK13" s="203">
        <f>IFERROR(GETPIVOTDATA("dato",'[1]evolucion mensual nacionali'!$A$4,"indicador","RESTO DE EUROPA","mes",6,"año",2010),"-")</f>
        <v>3978</v>
      </c>
      <c r="AL13" s="204">
        <f t="shared" si="17"/>
        <v>-8.6776859504132275E-2</v>
      </c>
      <c r="AM13" s="203">
        <f>IFERROR(GETPIVOTDATA("dato",'[1]evolucion mensual nacionali'!$A$4,"indicador","USA","mes",6,"año",2010),"-")</f>
        <v>269</v>
      </c>
      <c r="AN13" s="204">
        <f t="shared" si="18"/>
        <v>-1.46520146520146E-2</v>
      </c>
      <c r="AO13" s="203">
        <f>IFERROR(GETPIVOTDATA("dato",'[1]evolucion mensual nacionali'!$A$4,"indicador","RESTO DE AMÉRICA","mes",6,"año",2010),"-")</f>
        <v>196</v>
      </c>
      <c r="AP13" s="204">
        <f t="shared" si="19"/>
        <v>9.4972067039106101E-2</v>
      </c>
      <c r="AQ13" s="203">
        <f>IFERROR(GETPIVOTDATA("dato",'[1]evolucion mensual nacionali'!$A$4,"indicador","RESTO DEL MUNDO","mes",6,"año",2010),"-")</f>
        <v>1277</v>
      </c>
      <c r="AR13" s="204">
        <f t="shared" si="20"/>
        <v>2.0550239234449759</v>
      </c>
      <c r="AS13" s="203">
        <f t="shared" si="24"/>
        <v>95705</v>
      </c>
      <c r="AT13" s="204">
        <f t="shared" si="21"/>
        <v>8.4525077623915035E-2</v>
      </c>
      <c r="AU13" s="205">
        <f>IFERROR(GETPIVOTDATA("dato",'[1]evolucion mensual nacionali'!$A$4,"indicador","TOTAL","mes",6,"año",2010),"-")</f>
        <v>128897</v>
      </c>
      <c r="AV13" s="206">
        <f t="shared" si="22"/>
        <v>6.1868239597320906E-2</v>
      </c>
    </row>
    <row r="14" spans="2:49">
      <c r="B14" s="51" t="s">
        <v>44</v>
      </c>
      <c r="C14" s="203">
        <f>IFERROR(GETPIVOTDATA("dato",'[1]evolucion mensual nacionali'!$A$4,"indicador","España","mes",5,"año",2010),"-")</f>
        <v>40612</v>
      </c>
      <c r="D14" s="204">
        <f t="shared" si="0"/>
        <v>0.14496757823512829</v>
      </c>
      <c r="E14" s="203">
        <f>IFERROR(GETPIVOTDATA("dato",'[1]evolucion mensual nacionali'!$A$4,"indicador","HOLANDA","mes",5,"año",2010),"-")</f>
        <v>5808</v>
      </c>
      <c r="F14" s="204">
        <f t="shared" si="1"/>
        <v>0.43762376237623757</v>
      </c>
      <c r="G14" s="203">
        <f>IFERROR(GETPIVOTDATA("dato",'[1]evolucion mensual nacionali'!$A$4,"indicador","BÉLGICA","mes",5,"año",2010),"-")</f>
        <v>4176</v>
      </c>
      <c r="H14" s="204">
        <f t="shared" si="2"/>
        <v>0.21927007299270063</v>
      </c>
      <c r="I14" s="203">
        <f>IFERROR(GETPIVOTDATA("dato",'[1]evolucion mensual nacionali'!$A$4,"indicador","ALEMANIA","mes",5,"año",2010),"-")</f>
        <v>17833</v>
      </c>
      <c r="J14" s="204">
        <f t="shared" si="3"/>
        <v>0.17237525474985205</v>
      </c>
      <c r="K14" s="203">
        <f>IFERROR(GETPIVOTDATA("dato",'[1]evolucion mensual nacionali'!$A$4,"indicador","FRANCIA","mes",5,"año",2010),"-")</f>
        <v>2337</v>
      </c>
      <c r="L14" s="204">
        <f t="shared" si="4"/>
        <v>-5.7281161758773735E-2</v>
      </c>
      <c r="M14" s="203">
        <f>IFERROR(GETPIVOTDATA("dato",'[1]evolucion mensual nacionali'!$A$4,"indicador","REINO UNIDO","mes",5,"año",2010),"-")</f>
        <v>42998</v>
      </c>
      <c r="N14" s="204">
        <f t="shared" si="5"/>
        <v>-2.5982557481028401E-2</v>
      </c>
      <c r="O14" s="203">
        <f>IFERROR(GETPIVOTDATA("dato",'[1]evolucion mensual nacionali'!$A$4,"indicador","IRLANDA","mes",5,"año",2010),"-")</f>
        <v>2071</v>
      </c>
      <c r="P14" s="204">
        <f t="shared" si="6"/>
        <v>-0.27587412587412585</v>
      </c>
      <c r="Q14" s="203">
        <f>IFERROR(GETPIVOTDATA("dato",'[1]evolucion mensual nacionali'!$A$4,"indicador","ITALIA","mes",5,"año",2010),"-")</f>
        <v>2290</v>
      </c>
      <c r="R14" s="204">
        <f t="shared" si="7"/>
        <v>0.12254901960784315</v>
      </c>
      <c r="S14" s="203">
        <f t="shared" si="23"/>
        <v>1929</v>
      </c>
      <c r="T14" s="204">
        <f t="shared" si="8"/>
        <v>3.2102728731942198E-2</v>
      </c>
      <c r="U14" s="203">
        <f>IFERROR(GETPIVOTDATA("dato",'[1]evolucion mensual nacionali'!$A$4,"indicador","SUECIA","mes",5,"año",2010),"-")</f>
        <v>760</v>
      </c>
      <c r="V14" s="204">
        <f t="shared" si="9"/>
        <v>-5.5900621118012417E-2</v>
      </c>
      <c r="W14" s="203">
        <f>IFERROR(GETPIVOTDATA("dato",'[1]evolucion mensual nacionali'!$A$4,"indicador","NORUEGA","mes",5,"año",2010),"-")</f>
        <v>550</v>
      </c>
      <c r="X14" s="204">
        <f t="shared" si="10"/>
        <v>7.4615384615384617</v>
      </c>
      <c r="Y14" s="203">
        <f>IFERROR(GETPIVOTDATA("dato",'[1]evolucion mensual nacionali'!$A$4,"indicador","DINAMARCA","mes",5,"año",2010),"-")</f>
        <v>553</v>
      </c>
      <c r="Z14" s="204">
        <f t="shared" si="11"/>
        <v>-0.34244946492271111</v>
      </c>
      <c r="AA14" s="203">
        <f>IFERROR(GETPIVOTDATA("dato",'[1]evolucion mensual nacionali'!$A$4,"indicador","FINLANDIA","mes",5,"año",2010),"-")</f>
        <v>66</v>
      </c>
      <c r="AB14" s="204">
        <f t="shared" si="12"/>
        <v>-0.58227848101265822</v>
      </c>
      <c r="AC14" s="203">
        <f>IFERROR(GETPIVOTDATA("dato",'[1]evolucion mensual nacionali'!$A$4,"indicador","SUIZA","mes",5,"año",2010),"-")</f>
        <v>930</v>
      </c>
      <c r="AD14" s="204">
        <f t="shared" si="13"/>
        <v>1.4176663031624903E-2</v>
      </c>
      <c r="AE14" s="203">
        <f>IFERROR(GETPIVOTDATA("dato",'[1]evolucion mensual nacionali'!$A$4,"indicador","AUSTRIA","mes",5,"año",2010),"-")</f>
        <v>659</v>
      </c>
      <c r="AF14" s="204">
        <f t="shared" si="14"/>
        <v>9.1883614088821286E-3</v>
      </c>
      <c r="AG14" s="203">
        <f>IFERROR(GETPIVOTDATA("dato",'[1]evolucion mensual nacionali'!$A$4,"indicador","RUSIA","mes",5,"año",2010),"-")</f>
        <v>3546</v>
      </c>
      <c r="AH14" s="204">
        <f t="shared" si="15"/>
        <v>-0.21042084168336672</v>
      </c>
      <c r="AI14" s="203">
        <f>IFERROR(GETPIVOTDATA("dato",'[1]evolucion mensual nacionali'!$A$4,"indicador","PAÍSES DEL ESTE","mes",5,"año",2010),"-")</f>
        <v>2644</v>
      </c>
      <c r="AJ14" s="204">
        <f t="shared" si="16"/>
        <v>-0.20433343364429735</v>
      </c>
      <c r="AK14" s="203">
        <f>IFERROR(GETPIVOTDATA("dato",'[1]evolucion mensual nacionali'!$A$4,"indicador","RESTO DE EUROPA","mes",5,"año",2010),"-")</f>
        <v>2936</v>
      </c>
      <c r="AL14" s="204">
        <f t="shared" si="17"/>
        <v>0.46433915211970067</v>
      </c>
      <c r="AM14" s="203">
        <f>IFERROR(GETPIVOTDATA("dato",'[1]evolucion mensual nacionali'!$A$4,"indicador","USA","mes",5,"año",2010),"-")</f>
        <v>232</v>
      </c>
      <c r="AN14" s="204">
        <f t="shared" si="18"/>
        <v>-1.6949152542372836E-2</v>
      </c>
      <c r="AO14" s="203">
        <f>IFERROR(GETPIVOTDATA("dato",'[1]evolucion mensual nacionali'!$A$4,"indicador","RESTO DE AMÉRICA","mes",5,"año",2010),"-")</f>
        <v>248</v>
      </c>
      <c r="AP14" s="204">
        <f t="shared" si="19"/>
        <v>0.21568627450980382</v>
      </c>
      <c r="AQ14" s="203">
        <f>IFERROR(GETPIVOTDATA("dato",'[1]evolucion mensual nacionali'!$A$4,"indicador","RESTO DEL MUNDO","mes",5,"año",2010),"-")</f>
        <v>1270</v>
      </c>
      <c r="AR14" s="204">
        <f t="shared" si="20"/>
        <v>1.4564796905222437</v>
      </c>
      <c r="AS14" s="203">
        <f t="shared" si="24"/>
        <v>91907</v>
      </c>
      <c r="AT14" s="204">
        <f t="shared" si="21"/>
        <v>3.9495560708024735E-2</v>
      </c>
      <c r="AU14" s="205">
        <f>IFERROR(GETPIVOTDATA("dato",'[1]evolucion mensual nacionali'!$A$4,"indicador","TOTAL","mes",5,"año",2010),"-")</f>
        <v>132519</v>
      </c>
      <c r="AV14" s="206">
        <f t="shared" si="22"/>
        <v>6.9693667514227009E-2</v>
      </c>
    </row>
    <row r="15" spans="2:49">
      <c r="B15" s="51" t="s">
        <v>45</v>
      </c>
      <c r="C15" s="203">
        <f>IFERROR(GETPIVOTDATA("dato",'[1]evolucion mensual nacionali'!$A$4,"indicador","España","mes",4,"año",2010),"-")</f>
        <v>35773</v>
      </c>
      <c r="D15" s="204">
        <f t="shared" si="0"/>
        <v>0.24194556311623394</v>
      </c>
      <c r="E15" s="203">
        <f>IFERROR(GETPIVOTDATA("dato",'[1]evolucion mensual nacionali'!$A$4,"indicador","HOLANDA","mes",4,"año",2010),"-")</f>
        <v>5201</v>
      </c>
      <c r="F15" s="204">
        <f t="shared" si="1"/>
        <v>-0.17062669430712807</v>
      </c>
      <c r="G15" s="203">
        <f>IFERROR(GETPIVOTDATA("dato",'[1]evolucion mensual nacionali'!$A$4,"indicador","BÉLGICA","mes",4,"año",2010),"-")</f>
        <v>7452</v>
      </c>
      <c r="H15" s="204">
        <f t="shared" si="2"/>
        <v>9.3791281373844182E-2</v>
      </c>
      <c r="I15" s="203">
        <f>IFERROR(GETPIVOTDATA("dato",'[1]evolucion mensual nacionali'!$A$4,"indicador","ALEMANIA","mes",4,"año",2010),"-")</f>
        <v>19534</v>
      </c>
      <c r="J15" s="204">
        <f t="shared" si="3"/>
        <v>-4.1840388482856761E-2</v>
      </c>
      <c r="K15" s="203">
        <f>IFERROR(GETPIVOTDATA("dato",'[1]evolucion mensual nacionali'!$A$4,"indicador","FRANCIA","mes",4,"año",2010),"-")</f>
        <v>5152</v>
      </c>
      <c r="L15" s="204">
        <f t="shared" si="4"/>
        <v>-4.8744460856720795E-2</v>
      </c>
      <c r="M15" s="203">
        <f>IFERROR(GETPIVOTDATA("dato",'[1]evolucion mensual nacionali'!$A$4,"indicador","REINO UNIDO","mes",4,"año",2010),"-")</f>
        <v>56191</v>
      </c>
      <c r="N15" s="204">
        <f t="shared" si="5"/>
        <v>0.19068909984743176</v>
      </c>
      <c r="O15" s="203">
        <f>IFERROR(GETPIVOTDATA("dato",'[1]evolucion mensual nacionali'!$A$4,"indicador","IRLANDA","mes",4,"año",2010),"-")</f>
        <v>2322</v>
      </c>
      <c r="P15" s="204">
        <f t="shared" si="6"/>
        <v>-0.24043179587831209</v>
      </c>
      <c r="Q15" s="203">
        <f>IFERROR(GETPIVOTDATA("dato",'[1]evolucion mensual nacionali'!$A$4,"indicador","ITALIA","mes",4,"año",2010),"-")</f>
        <v>2538</v>
      </c>
      <c r="R15" s="204">
        <f t="shared" si="7"/>
        <v>-9.8081023454157812E-2</v>
      </c>
      <c r="S15" s="203">
        <f t="shared" si="23"/>
        <v>7076</v>
      </c>
      <c r="T15" s="204">
        <f t="shared" si="8"/>
        <v>-0.17892782548155028</v>
      </c>
      <c r="U15" s="203">
        <f>IFERROR(GETPIVOTDATA("dato",'[1]evolucion mensual nacionali'!$A$4,"indicador","SUECIA","mes",4,"año",2010),"-")</f>
        <v>2920</v>
      </c>
      <c r="V15" s="204">
        <f t="shared" si="9"/>
        <v>-0.12496254120467487</v>
      </c>
      <c r="W15" s="203">
        <f>IFERROR(GETPIVOTDATA("dato",'[1]evolucion mensual nacionali'!$A$4,"indicador","NORUEGA","mes",4,"año",2010),"-")</f>
        <v>796</v>
      </c>
      <c r="X15" s="204">
        <f t="shared" si="10"/>
        <v>-0.42568542568542567</v>
      </c>
      <c r="Y15" s="203">
        <f>IFERROR(GETPIVOTDATA("dato",'[1]evolucion mensual nacionali'!$A$4,"indicador","DINAMARCA","mes",4,"año",2010),"-")</f>
        <v>2032</v>
      </c>
      <c r="Z15" s="204">
        <f t="shared" si="11"/>
        <v>-0.11996535296665223</v>
      </c>
      <c r="AA15" s="203">
        <f>IFERROR(GETPIVOTDATA("dato",'[1]evolucion mensual nacionali'!$A$4,"indicador","FINLANDIA","mes",4,"año",2010),"-")</f>
        <v>1328</v>
      </c>
      <c r="AB15" s="204">
        <f t="shared" si="12"/>
        <v>-0.16267339218158894</v>
      </c>
      <c r="AC15" s="203">
        <f>IFERROR(GETPIVOTDATA("dato",'[1]evolucion mensual nacionali'!$A$4,"indicador","SUIZA","mes",4,"año",2010),"-")</f>
        <v>1166</v>
      </c>
      <c r="AD15" s="204">
        <f t="shared" si="13"/>
        <v>9.8963242224316739E-2</v>
      </c>
      <c r="AE15" s="203">
        <f>IFERROR(GETPIVOTDATA("dato",'[1]evolucion mensual nacionali'!$A$4,"indicador","AUSTRIA","mes",4,"año",2010),"-")</f>
        <v>1262</v>
      </c>
      <c r="AF15" s="204">
        <f t="shared" si="14"/>
        <v>0.15462031107044827</v>
      </c>
      <c r="AG15" s="203">
        <f>IFERROR(GETPIVOTDATA("dato",'[1]evolucion mensual nacionali'!$A$4,"indicador","RUSIA","mes",4,"año",2010),"-")</f>
        <v>4601</v>
      </c>
      <c r="AH15" s="204">
        <f t="shared" si="15"/>
        <v>0.5522941970310391</v>
      </c>
      <c r="AI15" s="203">
        <f>IFERROR(GETPIVOTDATA("dato",'[1]evolucion mensual nacionali'!$A$4,"indicador","PAÍSES DEL ESTE","mes",4,"año",2010),"-")</f>
        <v>3486</v>
      </c>
      <c r="AJ15" s="204">
        <f t="shared" si="16"/>
        <v>-8.957952468007313E-2</v>
      </c>
      <c r="AK15" s="203">
        <f>IFERROR(GETPIVOTDATA("dato",'[1]evolucion mensual nacionali'!$A$4,"indicador","RESTO DE EUROPA","mes",4,"año",2010),"-")</f>
        <v>3310</v>
      </c>
      <c r="AL15" s="204">
        <f t="shared" si="17"/>
        <v>4.8795944233206656E-2</v>
      </c>
      <c r="AM15" s="203">
        <f>IFERROR(GETPIVOTDATA("dato",'[1]evolucion mensual nacionali'!$A$4,"indicador","USA","mes",4,"año",2010),"-")</f>
        <v>383</v>
      </c>
      <c r="AN15" s="204">
        <f t="shared" si="18"/>
        <v>-9.2417061611374418E-2</v>
      </c>
      <c r="AO15" s="203">
        <f>IFERROR(GETPIVOTDATA("dato",'[1]evolucion mensual nacionali'!$A$4,"indicador","RESTO DE AMÉRICA","mes",4,"año",2010),"-")</f>
        <v>328</v>
      </c>
      <c r="AP15" s="204">
        <f t="shared" si="19"/>
        <v>-0.44027303754266212</v>
      </c>
      <c r="AQ15" s="203">
        <f>IFERROR(GETPIVOTDATA("dato",'[1]evolucion mensual nacionali'!$A$4,"indicador","RESTO DEL MUNDO","mes",4,"año",2010),"-")</f>
        <v>836</v>
      </c>
      <c r="AR15" s="204">
        <f t="shared" si="20"/>
        <v>0.53676470588235303</v>
      </c>
      <c r="AS15" s="203">
        <f t="shared" si="24"/>
        <v>120838</v>
      </c>
      <c r="AT15" s="204">
        <f t="shared" si="21"/>
        <v>5.7913029775089164E-2</v>
      </c>
      <c r="AU15" s="205">
        <f>IFERROR(GETPIVOTDATA("dato",'[1]evolucion mensual nacionali'!$A$4,"indicador","TOTAL","mes",4,"año",2010),"-")</f>
        <v>156611</v>
      </c>
      <c r="AV15" s="206">
        <f t="shared" si="22"/>
        <v>9.4975074636257428E-2</v>
      </c>
    </row>
    <row r="16" spans="2:49">
      <c r="B16" s="51" t="s">
        <v>46</v>
      </c>
      <c r="C16" s="203">
        <f>IFERROR(GETPIVOTDATA("dato",'[1]evolucion mensual nacionali'!$A$4,"indicador","España","mes",3,"año",2010),"-")</f>
        <v>25081</v>
      </c>
      <c r="D16" s="204">
        <f t="shared" si="0"/>
        <v>0.61750290210241188</v>
      </c>
      <c r="E16" s="203">
        <f>IFERROR(GETPIVOTDATA("dato",'[1]evolucion mensual nacionali'!$A$4,"indicador","HOLANDA","mes",3,"año",2010),"-")</f>
        <v>4994</v>
      </c>
      <c r="F16" s="204">
        <f t="shared" si="1"/>
        <v>3.2141422257934149E-3</v>
      </c>
      <c r="G16" s="203">
        <f>IFERROR(GETPIVOTDATA("dato",'[1]evolucion mensual nacionali'!$A$4,"indicador","BÉLGICA","mes",3,"año",2010),"-")</f>
        <v>4699</v>
      </c>
      <c r="H16" s="204">
        <f t="shared" si="2"/>
        <v>4.7247604189881942E-2</v>
      </c>
      <c r="I16" s="203">
        <f>IFERROR(GETPIVOTDATA("dato",'[1]evolucion mensual nacionali'!$A$4,"indicador","ALEMANIA","mes",3,"año",2010),"-")</f>
        <v>20964</v>
      </c>
      <c r="J16" s="204">
        <f t="shared" si="3"/>
        <v>0.10692222398225892</v>
      </c>
      <c r="K16" s="203">
        <f>IFERROR(GETPIVOTDATA("dato",'[1]evolucion mensual nacionali'!$A$4,"indicador","FRANCIA","mes",3,"año",2010),"-")</f>
        <v>3219</v>
      </c>
      <c r="L16" s="204">
        <f t="shared" si="4"/>
        <v>-0.16498054474708168</v>
      </c>
      <c r="M16" s="203">
        <f>IFERROR(GETPIVOTDATA("dato",'[1]evolucion mensual nacionali'!$A$4,"indicador","REINO UNIDO","mes",3,"año",2010),"-")</f>
        <v>46291</v>
      </c>
      <c r="N16" s="204">
        <f t="shared" si="5"/>
        <v>-1.9964432400389587E-2</v>
      </c>
      <c r="O16" s="203">
        <f>IFERROR(GETPIVOTDATA("dato",'[1]evolucion mensual nacionali'!$A$4,"indicador","IRLANDA","mes",3,"año",2010),"-")</f>
        <v>2462</v>
      </c>
      <c r="P16" s="204">
        <f t="shared" si="6"/>
        <v>-0.31515994436717665</v>
      </c>
      <c r="Q16" s="203">
        <f>IFERROR(GETPIVOTDATA("dato",'[1]evolucion mensual nacionali'!$A$4,"indicador","ITALIA","mes",3,"año",2010),"-")</f>
        <v>3266</v>
      </c>
      <c r="R16" s="204">
        <f t="shared" si="7"/>
        <v>-4.5717768972873829E-3</v>
      </c>
      <c r="S16" s="203">
        <f t="shared" si="23"/>
        <v>16294</v>
      </c>
      <c r="T16" s="204">
        <f t="shared" si="8"/>
        <v>-0.21201276719218498</v>
      </c>
      <c r="U16" s="203">
        <f>IFERROR(GETPIVOTDATA("dato",'[1]evolucion mensual nacionali'!$A$4,"indicador","SUECIA","mes",3,"año",2010),"-")</f>
        <v>5005</v>
      </c>
      <c r="V16" s="204">
        <f t="shared" si="9"/>
        <v>-0.22463206816421377</v>
      </c>
      <c r="W16" s="203">
        <f>IFERROR(GETPIVOTDATA("dato",'[1]evolucion mensual nacionali'!$A$4,"indicador","NORUEGA","mes",3,"año",2010),"-")</f>
        <v>2920</v>
      </c>
      <c r="X16" s="204">
        <f t="shared" si="10"/>
        <v>-0.30343511450381677</v>
      </c>
      <c r="Y16" s="203">
        <f>IFERROR(GETPIVOTDATA("dato",'[1]evolucion mensual nacionali'!$A$4,"indicador","DINAMARCA","mes",3,"año",2010),"-")</f>
        <v>4525</v>
      </c>
      <c r="Z16" s="204">
        <f t="shared" si="11"/>
        <v>-0.29296875</v>
      </c>
      <c r="AA16" s="203">
        <f>IFERROR(GETPIVOTDATA("dato",'[1]evolucion mensual nacionali'!$A$4,"indicador","FINLANDIA","mes",3,"año",2010),"-")</f>
        <v>3844</v>
      </c>
      <c r="AB16" s="204">
        <f t="shared" si="12"/>
        <v>5.8661525750481891E-2</v>
      </c>
      <c r="AC16" s="203">
        <f>IFERROR(GETPIVOTDATA("dato",'[1]evolucion mensual nacionali'!$A$4,"indicador","SUIZA","mes",3,"año",2010),"-")</f>
        <v>1118</v>
      </c>
      <c r="AD16" s="204">
        <f t="shared" si="13"/>
        <v>5.3722902921771842E-2</v>
      </c>
      <c r="AE16" s="203">
        <f>IFERROR(GETPIVOTDATA("dato",'[1]evolucion mensual nacionali'!$A$4,"indicador","AUSTRIA","mes",3,"año",2010),"-")</f>
        <v>1182</v>
      </c>
      <c r="AF16" s="204">
        <f t="shared" si="14"/>
        <v>0.60379918588873815</v>
      </c>
      <c r="AG16" s="203">
        <f>IFERROR(GETPIVOTDATA("dato",'[1]evolucion mensual nacionali'!$A$4,"indicador","RUSIA","mes",3,"año",2010),"-")</f>
        <v>3017</v>
      </c>
      <c r="AH16" s="204">
        <f t="shared" si="15"/>
        <v>7.3665480427046237E-2</v>
      </c>
      <c r="AI16" s="203">
        <f>IFERROR(GETPIVOTDATA("dato",'[1]evolucion mensual nacionali'!$A$4,"indicador","PAÍSES DEL ESTE","mes",3,"año",2010),"-")</f>
        <v>3511</v>
      </c>
      <c r="AJ16" s="204">
        <f t="shared" si="16"/>
        <v>-0.13882756929114548</v>
      </c>
      <c r="AK16" s="203">
        <f>IFERROR(GETPIVOTDATA("dato",'[1]evolucion mensual nacionali'!$A$4,"indicador","RESTO DE EUROPA","mes",3,"año",2010),"-")</f>
        <v>3020</v>
      </c>
      <c r="AL16" s="204">
        <f t="shared" si="17"/>
        <v>8.8288288288288275E-2</v>
      </c>
      <c r="AM16" s="203">
        <f>IFERROR(GETPIVOTDATA("dato",'[1]evolucion mensual nacionali'!$A$4,"indicador","USA","mes",3,"año",2010),"-")</f>
        <v>343</v>
      </c>
      <c r="AN16" s="204">
        <f t="shared" si="18"/>
        <v>0.55909090909090908</v>
      </c>
      <c r="AO16" s="203">
        <f>IFERROR(GETPIVOTDATA("dato",'[1]evolucion mensual nacionali'!$A$4,"indicador","RESTO DE AMÉRICA","mes",3,"año",2010),"-")</f>
        <v>216</v>
      </c>
      <c r="AP16" s="204">
        <f t="shared" si="19"/>
        <v>0.34161490683229823</v>
      </c>
      <c r="AQ16" s="203">
        <f>IFERROR(GETPIVOTDATA("dato",'[1]evolucion mensual nacionali'!$A$4,"indicador","RESTO DEL MUNDO","mes",3,"año",2010),"-")</f>
        <v>652</v>
      </c>
      <c r="AR16" s="204">
        <f t="shared" si="20"/>
        <v>-3.6927621861152171E-2</v>
      </c>
      <c r="AS16" s="203">
        <f t="shared" si="24"/>
        <v>115248</v>
      </c>
      <c r="AT16" s="204">
        <f t="shared" si="21"/>
        <v>-3.6105883828879692E-2</v>
      </c>
      <c r="AU16" s="205">
        <f>IFERROR(GETPIVOTDATA("dato",'[1]evolucion mensual nacionali'!$A$4,"indicador","TOTAL","mes",3,"año",2010),"-")</f>
        <v>140329</v>
      </c>
      <c r="AV16" s="206">
        <f t="shared" si="22"/>
        <v>3.8927675074590384E-2</v>
      </c>
    </row>
    <row r="17" spans="2:48">
      <c r="B17" s="51" t="s">
        <v>47</v>
      </c>
      <c r="C17" s="203">
        <f>IFERROR(GETPIVOTDATA("dato",'[1]evolucion mensual nacionali'!$A$4,"indicador","España","mes",2,"año",2010),"-")</f>
        <v>17537</v>
      </c>
      <c r="D17" s="204">
        <f t="shared" si="0"/>
        <v>0.1486114749803511</v>
      </c>
      <c r="E17" s="203">
        <f>IFERROR(GETPIVOTDATA("dato",'[1]evolucion mensual nacionali'!$A$4,"indicador","HOLANDA","mes",2,"año",2010),"-")</f>
        <v>5435</v>
      </c>
      <c r="F17" s="204">
        <f t="shared" si="1"/>
        <v>-6.3415474754437318E-2</v>
      </c>
      <c r="G17" s="203">
        <f>IFERROR(GETPIVOTDATA("dato",'[1]evolucion mensual nacionali'!$A$4,"indicador","BÉLGICA","mes",2,"año",2010),"-")</f>
        <v>5258</v>
      </c>
      <c r="H17" s="204">
        <f t="shared" si="2"/>
        <v>0.10975094976783462</v>
      </c>
      <c r="I17" s="203">
        <f>IFERROR(GETPIVOTDATA("dato",'[1]evolucion mensual nacionali'!$A$4,"indicador","ALEMANIA","mes",2,"año",2010),"-")</f>
        <v>17950</v>
      </c>
      <c r="J17" s="204">
        <f t="shared" si="3"/>
        <v>1.1837655016911031E-2</v>
      </c>
      <c r="K17" s="203">
        <f>IFERROR(GETPIVOTDATA("dato",'[1]evolucion mensual nacionali'!$A$4,"indicador","FRANCIA","mes",2,"año",2010),"-")</f>
        <v>4360</v>
      </c>
      <c r="L17" s="204">
        <f t="shared" si="4"/>
        <v>-4.616057755414571E-2</v>
      </c>
      <c r="M17" s="203">
        <f>IFERROR(GETPIVOTDATA("dato",'[1]evolucion mensual nacionali'!$A$4,"indicador","REINO UNIDO","mes",2,"año",2010),"-")</f>
        <v>42160</v>
      </c>
      <c r="N17" s="204">
        <f t="shared" si="5"/>
        <v>-0.11075488810613565</v>
      </c>
      <c r="O17" s="203">
        <f>IFERROR(GETPIVOTDATA("dato",'[1]evolucion mensual nacionali'!$A$4,"indicador","IRLANDA","mes",2,"año",2010),"-")</f>
        <v>2203</v>
      </c>
      <c r="P17" s="204">
        <f t="shared" si="6"/>
        <v>-0.42148109243697474</v>
      </c>
      <c r="Q17" s="203">
        <f>IFERROR(GETPIVOTDATA("dato",'[1]evolucion mensual nacionali'!$A$4,"indicador","ITALIA","mes",2,"año",2010),"-")</f>
        <v>3897</v>
      </c>
      <c r="R17" s="204">
        <f t="shared" si="7"/>
        <v>-2.6236881559220437E-2</v>
      </c>
      <c r="S17" s="203">
        <f t="shared" si="23"/>
        <v>15361</v>
      </c>
      <c r="T17" s="204">
        <f t="shared" si="8"/>
        <v>-0.19601172406573852</v>
      </c>
      <c r="U17" s="203">
        <f>IFERROR(GETPIVOTDATA("dato",'[1]evolucion mensual nacionali'!$A$4,"indicador","SUECIA","mes",2,"año",2010),"-")</f>
        <v>4567</v>
      </c>
      <c r="V17" s="204">
        <f t="shared" si="9"/>
        <v>-0.20931440443213301</v>
      </c>
      <c r="W17" s="203">
        <f>IFERROR(GETPIVOTDATA("dato",'[1]evolucion mensual nacionali'!$A$4,"indicador","NORUEGA","mes",2,"año",2010),"-")</f>
        <v>2921</v>
      </c>
      <c r="X17" s="204">
        <f t="shared" si="10"/>
        <v>-0.23232588699080159</v>
      </c>
      <c r="Y17" s="203">
        <f>IFERROR(GETPIVOTDATA("dato",'[1]evolucion mensual nacionali'!$A$4,"indicador","DINAMARCA","mes",2,"año",2010),"-")</f>
        <v>4613</v>
      </c>
      <c r="Z17" s="204">
        <f t="shared" si="11"/>
        <v>-0.25740502253702513</v>
      </c>
      <c r="AA17" s="203">
        <f>IFERROR(GETPIVOTDATA("dato",'[1]evolucion mensual nacionali'!$A$4,"indicador","FINLANDIA","mes",2,"año",2010),"-")</f>
        <v>3260</v>
      </c>
      <c r="AB17" s="204">
        <f t="shared" si="12"/>
        <v>-1.599758527014794E-2</v>
      </c>
      <c r="AC17" s="203">
        <f>IFERROR(GETPIVOTDATA("dato",'[1]evolucion mensual nacionali'!$A$4,"indicador","SUIZA","mes",2,"año",2010),"-")</f>
        <v>955</v>
      </c>
      <c r="AD17" s="204">
        <f t="shared" si="13"/>
        <v>-3.1440162271805239E-2</v>
      </c>
      <c r="AE17" s="203">
        <f>IFERROR(GETPIVOTDATA("dato",'[1]evolucion mensual nacionali'!$A$4,"indicador","AUSTRIA","mes",2,"año",2010),"-")</f>
        <v>1197</v>
      </c>
      <c r="AF17" s="204">
        <f t="shared" si="14"/>
        <v>0.11764705882352944</v>
      </c>
      <c r="AG17" s="203">
        <f>IFERROR(GETPIVOTDATA("dato",'[1]evolucion mensual nacionali'!$A$4,"indicador","RUSIA","mes",2,"año",2010),"-")</f>
        <v>2290</v>
      </c>
      <c r="AH17" s="204">
        <f t="shared" si="15"/>
        <v>0.22854077253218885</v>
      </c>
      <c r="AI17" s="203">
        <f>IFERROR(GETPIVOTDATA("dato",'[1]evolucion mensual nacionali'!$A$4,"indicador","PAÍSES DEL ESTE","mes",2,"año",2010),"-")</f>
        <v>3257</v>
      </c>
      <c r="AJ17" s="204">
        <f t="shared" si="16"/>
        <v>-9.477487493051695E-2</v>
      </c>
      <c r="AK17" s="203">
        <f>IFERROR(GETPIVOTDATA("dato",'[1]evolucion mensual nacionali'!$A$4,"indicador","RESTO DE EUROPA","mes",2,"año",2010),"-")</f>
        <v>2517</v>
      </c>
      <c r="AL17" s="204">
        <f t="shared" si="17"/>
        <v>-0.12023767913317018</v>
      </c>
      <c r="AM17" s="203">
        <f>IFERROR(GETPIVOTDATA("dato",'[1]evolucion mensual nacionali'!$A$4,"indicador","USA","mes",2,"año",2010),"-")</f>
        <v>186</v>
      </c>
      <c r="AN17" s="204">
        <f t="shared" si="18"/>
        <v>-0.24081632653061225</v>
      </c>
      <c r="AO17" s="203">
        <f>IFERROR(GETPIVOTDATA("dato",'[1]evolucion mensual nacionali'!$A$4,"indicador","RESTO DE AMÉRICA","mes",2,"año",2010),"-")</f>
        <v>169</v>
      </c>
      <c r="AP17" s="204">
        <f t="shared" si="19"/>
        <v>-0.22831050228310501</v>
      </c>
      <c r="AQ17" s="203">
        <f>IFERROR(GETPIVOTDATA("dato",'[1]evolucion mensual nacionali'!$A$4,"indicador","RESTO DEL MUNDO","mes",2,"año",2010),"-")</f>
        <v>687</v>
      </c>
      <c r="AR17" s="204">
        <f t="shared" si="20"/>
        <v>0.37125748502994016</v>
      </c>
      <c r="AS17" s="203">
        <f t="shared" si="24"/>
        <v>107882</v>
      </c>
      <c r="AT17" s="204">
        <f t="shared" si="21"/>
        <v>-8.9787722317842822E-2</v>
      </c>
      <c r="AU17" s="205">
        <f>IFERROR(GETPIVOTDATA("dato",'[1]evolucion mensual nacionali'!$A$4,"indicador","TOTAL","mes",2,"año",2010),"-")</f>
        <v>125419</v>
      </c>
      <c r="AV17" s="206">
        <f t="shared" si="22"/>
        <v>-6.2582217172925114E-2</v>
      </c>
    </row>
    <row r="18" spans="2:48">
      <c r="B18" s="51" t="s">
        <v>48</v>
      </c>
      <c r="C18" s="203">
        <f>IFERROR(GETPIVOTDATA("dato",'[1]evolucion mensual nacionali'!$A$4,"indicador","España","mes",1,"año",2010),"-")</f>
        <v>17949</v>
      </c>
      <c r="D18" s="204">
        <f t="shared" si="0"/>
        <v>5.4768760651113579E-2</v>
      </c>
      <c r="E18" s="203">
        <f>IFERROR(GETPIVOTDATA("dato",'[1]evolucion mensual nacionali'!$A$4,"indicador","HOLANDA","mes",1,"año",2010),"-")</f>
        <v>4177</v>
      </c>
      <c r="F18" s="204">
        <f t="shared" si="1"/>
        <v>-8.6195580835703334E-2</v>
      </c>
      <c r="G18" s="203">
        <f>IFERROR(GETPIVOTDATA("dato",'[1]evolucion mensual nacionali'!$A$4,"indicador","BÉLGICA","mes",1,"año",2010),"-")</f>
        <v>6177</v>
      </c>
      <c r="H18" s="204">
        <f t="shared" si="2"/>
        <v>-5.3140096618357058E-3</v>
      </c>
      <c r="I18" s="203">
        <f>IFERROR(GETPIVOTDATA("dato",'[1]evolucion mensual nacionali'!$A$4,"indicador","ALEMANIA","mes",1,"año",2010),"-")</f>
        <v>20047</v>
      </c>
      <c r="J18" s="204">
        <f t="shared" si="3"/>
        <v>1.5912430953225476E-2</v>
      </c>
      <c r="K18" s="203">
        <f>IFERROR(GETPIVOTDATA("dato",'[1]evolucion mensual nacionali'!$A$4,"indicador","FRANCIA","mes",1,"año",2010),"-")</f>
        <v>3761</v>
      </c>
      <c r="L18" s="204">
        <f t="shared" si="4"/>
        <v>3.2957978577313973E-2</v>
      </c>
      <c r="M18" s="203">
        <f>IFERROR(GETPIVOTDATA("dato",'[1]evolucion mensual nacionali'!$A$4,"indicador","REINO UNIDO","mes",1,"año",2010),"-")</f>
        <v>41811</v>
      </c>
      <c r="N18" s="204">
        <f t="shared" si="5"/>
        <v>-4.7997449850861851E-2</v>
      </c>
      <c r="O18" s="203">
        <f>IFERROR(GETPIVOTDATA("dato",'[1]evolucion mensual nacionali'!$A$4,"indicador","IRLANDA","mes",1,"año",2010),"-")</f>
        <v>2494</v>
      </c>
      <c r="P18" s="204">
        <f t="shared" si="6"/>
        <v>-0.35820895522388063</v>
      </c>
      <c r="Q18" s="203">
        <f>IFERROR(GETPIVOTDATA("dato",'[1]evolucion mensual nacionali'!$A$4,"indicador","ITALIA","mes",1,"año",2010),"-")</f>
        <v>5105</v>
      </c>
      <c r="R18" s="204">
        <f t="shared" si="7"/>
        <v>4.0350519665783624E-2</v>
      </c>
      <c r="S18" s="203">
        <f t="shared" si="23"/>
        <v>17251</v>
      </c>
      <c r="T18" s="204">
        <f t="shared" si="8"/>
        <v>-6.5189118890213504E-2</v>
      </c>
      <c r="U18" s="203">
        <f>IFERROR(GETPIVOTDATA("dato",'[1]evolucion mensual nacionali'!$A$4,"indicador","SUECIA","mes",1,"año",2010),"-")</f>
        <v>6000</v>
      </c>
      <c r="V18" s="204">
        <f t="shared" si="9"/>
        <v>-2.2642124124450214E-2</v>
      </c>
      <c r="W18" s="203">
        <f>IFERROR(GETPIVOTDATA("dato",'[1]evolucion mensual nacionali'!$A$4,"indicador","NORUEGA","mes",1,"año",2010),"-")</f>
        <v>3035</v>
      </c>
      <c r="X18" s="204">
        <f t="shared" si="10"/>
        <v>-1.4610389610389629E-2</v>
      </c>
      <c r="Y18" s="203">
        <f>IFERROR(GETPIVOTDATA("dato",'[1]evolucion mensual nacionali'!$A$4,"indicador","DINAMARCA","mes",1,"año",2010),"-")</f>
        <v>4660</v>
      </c>
      <c r="Z18" s="204">
        <f t="shared" si="11"/>
        <v>-0.22745358090185674</v>
      </c>
      <c r="AA18" s="203">
        <f>IFERROR(GETPIVOTDATA("dato",'[1]evolucion mensual nacionali'!$A$4,"indicador","FINLANDIA","mes",1,"año",2010),"-")</f>
        <v>3556</v>
      </c>
      <c r="AB18" s="204">
        <f t="shared" si="12"/>
        <v>0.1102091788947861</v>
      </c>
      <c r="AC18" s="203">
        <f>IFERROR(GETPIVOTDATA("dato",'[1]evolucion mensual nacionali'!$A$4,"indicador","SUIZA","mes",1,"año",2010),"-")</f>
        <v>945</v>
      </c>
      <c r="AD18" s="204">
        <f t="shared" si="13"/>
        <v>0.11438679245283012</v>
      </c>
      <c r="AE18" s="203">
        <f>IFERROR(GETPIVOTDATA("dato",'[1]evolucion mensual nacionali'!$A$4,"indicador","AUSTRIA","mes",1,"año",2010),"-")</f>
        <v>1537</v>
      </c>
      <c r="AF18" s="204">
        <f t="shared" si="14"/>
        <v>0.10974729241877257</v>
      </c>
      <c r="AG18" s="203">
        <f>IFERROR(GETPIVOTDATA("dato",'[1]evolucion mensual nacionali'!$A$4,"indicador","RUSIA","mes",1,"año",2010),"-")</f>
        <v>3623</v>
      </c>
      <c r="AH18" s="204">
        <f t="shared" si="15"/>
        <v>-6.479091378420232E-2</v>
      </c>
      <c r="AI18" s="203">
        <f>IFERROR(GETPIVOTDATA("dato",'[1]evolucion mensual nacionali'!$A$4,"indicador","PAÍSES DEL ESTE","mes",1,"año",2010),"-")</f>
        <v>3312</v>
      </c>
      <c r="AJ18" s="204">
        <f t="shared" si="16"/>
        <v>-0.17714285714285716</v>
      </c>
      <c r="AK18" s="203">
        <f>IFERROR(GETPIVOTDATA("dato",'[1]evolucion mensual nacionali'!$A$4,"indicador","RESTO DE EUROPA","mes",1,"año",2010),"-")</f>
        <v>2440</v>
      </c>
      <c r="AL18" s="204">
        <f t="shared" si="17"/>
        <v>-7.1537290715372959E-2</v>
      </c>
      <c r="AM18" s="203">
        <f>IFERROR(GETPIVOTDATA("dato",'[1]evolucion mensual nacionali'!$A$4,"indicador","USA","mes",1,"año",2010),"-")</f>
        <v>184</v>
      </c>
      <c r="AN18" s="204">
        <f t="shared" si="18"/>
        <v>-1.6042780748663055E-2</v>
      </c>
      <c r="AO18" s="203">
        <f>IFERROR(GETPIVOTDATA("dato",'[1]evolucion mensual nacionali'!$A$4,"indicador","RESTO DE AMÉRICA","mes",1,"año",2010),"-")</f>
        <v>231</v>
      </c>
      <c r="AP18" s="204">
        <f t="shared" si="19"/>
        <v>-0.12167300380228141</v>
      </c>
      <c r="AQ18" s="203">
        <f>IFERROR(GETPIVOTDATA("dato",'[1]evolucion mensual nacionali'!$A$4,"indicador","RESTO DEL MUNDO","mes",1,"año",2010),"-")</f>
        <v>493</v>
      </c>
      <c r="AR18" s="204">
        <f t="shared" si="20"/>
        <v>-0.3806532663316583</v>
      </c>
      <c r="AS18" s="203">
        <f t="shared" si="24"/>
        <v>113588</v>
      </c>
      <c r="AT18" s="204">
        <f t="shared" si="21"/>
        <v>-4.8094731284621273E-2</v>
      </c>
      <c r="AU18" s="205">
        <f>IFERROR(GETPIVOTDATA("dato",'[1]evolucion mensual nacionali'!$A$4,"indicador","TOTAL","mes",1,"año",2010),"-")</f>
        <v>131537</v>
      </c>
      <c r="AV18" s="206">
        <f t="shared" si="22"/>
        <v>-3.5256410256410242E-2</v>
      </c>
    </row>
    <row r="19" spans="2:48" ht="24">
      <c r="B19" s="207" t="s">
        <v>54</v>
      </c>
      <c r="C19" s="208">
        <f>GETPIVOTDATA("dato",'[1]evolucion mensual nacionali'!$A$4,"indicador","España","año",2010)</f>
        <v>217518</v>
      </c>
      <c r="D19" s="209">
        <f>IFERROR((C18+C17+C16+C15+C14+C13+C12)/(C31+C30+C29+C28+C27+C26+C25)-1,"-")</f>
        <v>0.12687862319779097</v>
      </c>
      <c r="E19" s="208">
        <f>GETPIVOTDATA("dato",'[1]evolucion mensual nacionali'!$A$4,"indicador","HOLANDA","año",2010)</f>
        <v>33893</v>
      </c>
      <c r="F19" s="209">
        <f>IFERROR((E18+E17+E16+E15+E14+E13+E12)/(E31+E30+E29+E28+E27+E26+E25)-1,"-")</f>
        <v>-5.0775779980955615E-2</v>
      </c>
      <c r="G19" s="208">
        <f>GETPIVOTDATA("dato",'[1]evolucion mensual nacionali'!$A$4,"indicador","BÉLGICA","año",2010)</f>
        <v>38165</v>
      </c>
      <c r="H19" s="209">
        <f>IFERROR((G18+G17+G16+G15+G14+G13+G12)/(G31+G30+G29+G28+G27+G26+G25)-1,"-")</f>
        <v>0.10039500619900243</v>
      </c>
      <c r="I19" s="208">
        <f>GETPIVOTDATA("dato",'[1]evolucion mensual nacionali'!$A$4,"indicador","ALEMANIA","año",2010)</f>
        <v>132424</v>
      </c>
      <c r="J19" s="209">
        <f>IFERROR((I18+I17+I16+I15+I14+I13+I12)/(I31+I30+I29+I28+I27+I26+I25)-1,"-")</f>
        <v>5.5322675762260687E-2</v>
      </c>
      <c r="K19" s="208">
        <f>GETPIVOTDATA("dato",'[1]evolucion mensual nacionali'!$A$4,"indicador","FRANCIA","año",2010)</f>
        <v>24738</v>
      </c>
      <c r="L19" s="209">
        <f>IFERROR((K18+K17+K16+K15+K14+K13+K12)/(K31+K30+K29+K28+K27+K26+K25)-1,"-")</f>
        <v>-1.9365770999757448E-3</v>
      </c>
      <c r="M19" s="208">
        <f>GETPIVOTDATA("dato",'[1]evolucion mensual nacionali'!$A$4,"indicador","REINO UNIDO","año",2010)</f>
        <v>325181</v>
      </c>
      <c r="N19" s="209">
        <f>IFERROR((M18+M17+M16+M15+M14+M13+M12)/(M31+M30+M29+M28+M27+M26+M25)-1,"-")</f>
        <v>2.8594835848561262E-2</v>
      </c>
      <c r="O19" s="208">
        <f>GETPIVOTDATA("dato",'[1]evolucion mensual nacionali'!$A$4,"indicador","IRLANDA","año",2010)</f>
        <v>15663</v>
      </c>
      <c r="P19" s="209">
        <f>IFERROR((O18+O17+O16+O15+O14+O13+O12)/(O31+O30+O29+O28+O27+O26+O25)-1,"-")</f>
        <v>-0.27833579063767044</v>
      </c>
      <c r="Q19" s="208">
        <f>GETPIVOTDATA("dato",'[1]evolucion mensual nacionali'!$A$4,"indicador","ITALIA","año",2010)</f>
        <v>23620</v>
      </c>
      <c r="R19" s="209">
        <f>IFERROR((Q18+Q17+Q16+Q15+Q14+Q13+Q12)/(Q31+Q30+Q29+Q28+Q27+Q26+Q25)-1,"-")</f>
        <v>5.0197856920545902E-2</v>
      </c>
      <c r="S19" s="208">
        <f t="shared" si="23"/>
        <v>63579</v>
      </c>
      <c r="T19" s="209">
        <f>IFERROR((S18+S17+S16+S15+S14+S13+S12)/(S31+S30+S29+S28+S27+S26+S25)-1,"-")</f>
        <v>-0.14451217050821463</v>
      </c>
      <c r="U19" s="208">
        <f>GETPIVOTDATA("dato",'[1]evolucion mensual nacionali'!$A$4,"indicador","SUECIA","año",2010)</f>
        <v>21624</v>
      </c>
      <c r="V19" s="209">
        <f>IFERROR((U18+U17+U16+U15+U14+U13+U12)/(U31+U30+U29+U28+U27+U26+U25)-1,"-")</f>
        <v>-0.12802935602242027</v>
      </c>
      <c r="W19" s="208">
        <f>GETPIVOTDATA("dato",'[1]evolucion mensual nacionali'!$A$4,"indicador","NORUEGA","año",2010)</f>
        <v>11874</v>
      </c>
      <c r="X19" s="209">
        <f>IFERROR((W18+W17+W16+W15+W14+W13+W12)/(W31+W30+W29+W28+W27+W26+W25)-1,"-")</f>
        <v>-0.13157317340744534</v>
      </c>
      <c r="Y19" s="208">
        <f>GETPIVOTDATA("dato",'[1]evolucion mensual nacionali'!$A$4,"indicador","DINAMARCA","año",2010)</f>
        <v>17803</v>
      </c>
      <c r="Z19" s="209">
        <f>IFERROR((Y18+Y17+Y16+Y15+Y14+Y13+Y12)/(Y31+Y30+Y29+Y28+Y27+Y26+Y25)-1,"-")</f>
        <v>-0.24872346710554083</v>
      </c>
      <c r="AA19" s="208">
        <f>GETPIVOTDATA("dato",'[1]evolucion mensual nacionali'!$A$4,"indicador","FINLANDIA","año",2010)</f>
        <v>12278</v>
      </c>
      <c r="AB19" s="209">
        <f>IFERROR((AA18+AA17+AA16+AA15+AA14+AA13+AA12)/(AA31+AA30+AA29+AA28+AA27+AA26+AA25)-1,"-")</f>
        <v>1.0534979423868274E-2</v>
      </c>
      <c r="AC19" s="208">
        <f>GETPIVOTDATA("dato",'[1]evolucion mensual nacionali'!$A$4,"indicador","SUIZA","año",2010)</f>
        <v>7338</v>
      </c>
      <c r="AD19" s="209">
        <f>IFERROR((AC18+AC17+AC16+AC15+AC14+AC13+AC12)/(AC31+AC30+AC29+AC28+AC27+AC26+AC25)-1,"-")</f>
        <v>-6.9021518473406651E-3</v>
      </c>
      <c r="AE19" s="208">
        <f>GETPIVOTDATA("dato",'[1]evolucion mensual nacionali'!$A$4,"indicador","AUSTRIA","año",2010)</f>
        <v>8031</v>
      </c>
      <c r="AF19" s="209">
        <f>IFERROR((AE18+AE17+AE16+AE15+AE14+AE13+AE12)/(AE31+AE30+AE29+AE28+AE27+AE26+AE25)-1,"-")</f>
        <v>0.28805132317562143</v>
      </c>
      <c r="AG19" s="208">
        <f>GETPIVOTDATA("dato",'[1]evolucion mensual nacionali'!$A$4,"indicador","RUSIA","año",2010)</f>
        <v>27631</v>
      </c>
      <c r="AH19" s="209">
        <f>IFERROR((AG18+AG17+AG16+AG15+AG14+AG13+AG12)/(AG31+AG30+AG29+AG28+AG27+AG26+AG25)-1,"-")</f>
        <v>0.15979684351914036</v>
      </c>
      <c r="AI19" s="208">
        <f>GETPIVOTDATA("dato",'[1]evolucion mensual nacionali'!$A$4,"indicador","PAÍSES DEL ESTE","año",2010)</f>
        <v>26764</v>
      </c>
      <c r="AJ19" s="209">
        <f>IFERROR((AI18+AI17+AI16+AI15+AI14+AI13+AI12)/(AI31+AI30+AI29+AI28+AI27+AI26+AI25)-1,"-")</f>
        <v>-9.8308739303281434E-2</v>
      </c>
      <c r="AK19" s="208">
        <f>GETPIVOTDATA("dato",'[1]evolucion mensual nacionali'!$A$4,"indicador","RESTO DE EUROPA","año",2010)</f>
        <v>23752</v>
      </c>
      <c r="AL19" s="209">
        <f>IFERROR((AK18+AK17+AK16+AK15+AK14+AK13+AK12)/(AK31+AK30+AK29+AK28+AK27+AK26+AK25)-1,"-")</f>
        <v>4.930199681922609E-2</v>
      </c>
      <c r="AM19" s="208">
        <f>GETPIVOTDATA("dato",'[1]evolucion mensual nacionali'!$A$4,"indicador","USA","año",2010)</f>
        <v>1920</v>
      </c>
      <c r="AN19" s="209">
        <f>IFERROR((AM18+AM17+AM16+AM15+AM14+AM13+AM12)/(AM31+AM30+AM29+AM28+AM27+AM26+AM25)-1,"-")</f>
        <v>5.3208996160175603E-2</v>
      </c>
      <c r="AO19" s="208">
        <f>GETPIVOTDATA("dato",'[1]evolucion mensual nacionali'!$A$4,"indicador","RESTO DE AMÉRICA","año",2010)</f>
        <v>1682</v>
      </c>
      <c r="AP19" s="209">
        <f>IFERROR((AO18+AO17+AO16+AO15+AO14+AO13+AO12)/(AO31+AO30+AO29+AO28+AO27+AO26+AO25)-1,"-")</f>
        <v>-0.13831967213114749</v>
      </c>
      <c r="AQ19" s="208">
        <f>GETPIVOTDATA("dato",'[1]evolucion mensual nacionali'!$A$4,"indicador","RESTO DEL MUNDO","año",2010)</f>
        <v>6784</v>
      </c>
      <c r="AR19" s="209">
        <f>IFERROR((AQ18+AQ17+AQ16+AQ15+AQ14+AQ13+AQ12)/(AQ31+AQ30+AQ29+AQ28+AQ27+AQ26+AQ25)-1,"-")</f>
        <v>0.71399696816574032</v>
      </c>
      <c r="AS19" s="208">
        <f t="shared" si="24"/>
        <v>761165</v>
      </c>
      <c r="AT19" s="209">
        <f>IFERROR((AS18+AS17+AS16+AS15+AS14+AS13+AS12)/(AS31+AS30+AS29+AS28+AS27+AS26+AS25)-1,"-")</f>
        <v>1.1097074830203058E-2</v>
      </c>
      <c r="AU19" s="208">
        <f>GETPIVOTDATA("dato",'[1]evolucion mensual nacionali'!$A$4,"indicador","TOTAL","año",2010)</f>
        <v>978683</v>
      </c>
      <c r="AV19" s="209">
        <f>IFERROR((AU18+AU17+AU16+AU15+AU14+AU13+AU12)/(AU31+AU30+AU29+AU28+AU27+AU26+AU25)-1,"-")</f>
        <v>3.4725819854985795E-2</v>
      </c>
    </row>
    <row r="20" spans="2:48" ht="15" hidden="1" customHeight="1" outlineLevel="1">
      <c r="B20" s="51" t="s">
        <v>37</v>
      </c>
      <c r="C20" s="203">
        <f>IFERROR(GETPIVOTDATA("dato",'[1]evolucion mensual nacionali'!$A$4,"indicador","España","mes",12,"año",2009),"-")</f>
        <v>24038</v>
      </c>
      <c r="D20" s="204">
        <f t="shared" ref="D20:D71" si="25">IFERROR(C20/C33-1,"-")</f>
        <v>9.3978974195603637E-2</v>
      </c>
      <c r="E20" s="203">
        <f>IFERROR(GETPIVOTDATA("dato",'[1]evolucion mensual nacionali'!$A$4,"indicador","HOLANDA","mes",12,"año",2009),"-")</f>
        <v>4010</v>
      </c>
      <c r="F20" s="204">
        <f t="shared" ref="F20:F71" si="26">IFERROR(E20/E33-1,"-")</f>
        <v>-0.23165357348150983</v>
      </c>
      <c r="G20" s="203">
        <f>IFERROR(GETPIVOTDATA("dato",'[1]evolucion mensual nacionali'!$A$4,"indicador","BÉLGICA","mes",12,"año",2009),"-")</f>
        <v>6014</v>
      </c>
      <c r="H20" s="204">
        <f t="shared" ref="H20:H71" si="27">IFERROR(G20/G33-1,"-")</f>
        <v>4.3915986807845808E-2</v>
      </c>
      <c r="I20" s="203">
        <f>IFERROR(GETPIVOTDATA("dato",'[1]evolucion mensual nacionali'!$A$4,"indicador","ALEMANIA","mes",12,"año",2009),"-")</f>
        <v>18167</v>
      </c>
      <c r="J20" s="204">
        <f t="shared" ref="J20:J71" si="28">IFERROR(I20/I33-1,"-")</f>
        <v>-3.750993377483447E-2</v>
      </c>
      <c r="K20" s="203">
        <f>IFERROR(GETPIVOTDATA("dato",'[1]evolucion mensual nacionali'!$A$4,"indicador","FRANCIA","mes",12,"año",2009),"-")</f>
        <v>2885</v>
      </c>
      <c r="L20" s="204">
        <f t="shared" ref="L20:L71" si="29">IFERROR(K20/K33-1,"-")</f>
        <v>6.6543438077633965E-2</v>
      </c>
      <c r="M20" s="203">
        <f>IFERROR(GETPIVOTDATA("dato",'[1]evolucion mensual nacionali'!$A$4,"indicador","REINO UNIDO","mes",12,"año",2009),"-")</f>
        <v>45804</v>
      </c>
      <c r="N20" s="204">
        <f t="shared" ref="N20:N71" si="30">IFERROR(M20/M33-1,"-")</f>
        <v>-0.12669450323171083</v>
      </c>
      <c r="O20" s="203">
        <f>IFERROR(GETPIVOTDATA("dato",'[1]evolucion mensual nacionali'!$A$4,"indicador","IRLANDA","mes",12,"año",2009),"-")</f>
        <v>1884</v>
      </c>
      <c r="P20" s="204">
        <f t="shared" ref="P20:P71" si="31">IFERROR(O20/O33-1,"-")</f>
        <v>-0.13059529303184125</v>
      </c>
      <c r="Q20" s="203">
        <f>IFERROR(GETPIVOTDATA("dato",'[1]evolucion mensual nacionali'!$A$4,"indicador","ITALIA","mes",12,"año",2009),"-")</f>
        <v>3032</v>
      </c>
      <c r="R20" s="204">
        <f t="shared" ref="R20:R71" si="32">IFERROR(Q20/Q33-1,"-")</f>
        <v>-0.12395261485119913</v>
      </c>
      <c r="S20" s="203">
        <f>U20+W20+Y20+AA20</f>
        <v>14617</v>
      </c>
      <c r="T20" s="204">
        <f t="shared" ref="T20:T71" si="33">IFERROR(S20/S33-1,"-")</f>
        <v>-0.13758923830314473</v>
      </c>
      <c r="U20" s="203">
        <f>IFERROR(GETPIVOTDATA("dato",'[1]evolucion mensual nacionali'!$A$4,"indicador","SUECIA","mes",12,"año",2009),"-")</f>
        <v>5340</v>
      </c>
      <c r="V20" s="204">
        <f t="shared" ref="V20:V71" si="34">IFERROR(U20/U33-1,"-")</f>
        <v>-3.3594624860022737E-3</v>
      </c>
      <c r="W20" s="203">
        <f>IFERROR(GETPIVOTDATA("dato",'[1]evolucion mensual nacionali'!$A$4,"indicador","NORUEGA","mes",12,"año",2009),"-")</f>
        <v>2556</v>
      </c>
      <c r="X20" s="204">
        <f t="shared" ref="X20:X71" si="35">IFERROR(W20/W33-1,"-")</f>
        <v>-0.10971786833855801</v>
      </c>
      <c r="Y20" s="203">
        <f>IFERROR(GETPIVOTDATA("dato",'[1]evolucion mensual nacionali'!$A$4,"indicador","DINAMARCA","mes",12,"año",2009),"-")</f>
        <v>3202</v>
      </c>
      <c r="Z20" s="204">
        <f t="shared" ref="Z20:Z71" si="36">IFERROR(Y20/Y33-1,"-")</f>
        <v>-0.38221107466718118</v>
      </c>
      <c r="AA20" s="203">
        <f>IFERROR(GETPIVOTDATA("dato",'[1]evolucion mensual nacionali'!$A$4,"indicador","FINLANDIA","mes",12,"año",2009),"-")</f>
        <v>3519</v>
      </c>
      <c r="AB20" s="204">
        <f t="shared" ref="AB20:AB71" si="37">IFERROR(AA20/AA33-1,"-")</f>
        <v>-5.0890585241730735E-3</v>
      </c>
      <c r="AC20" s="203">
        <f>IFERROR(GETPIVOTDATA("dato",'[1]evolucion mensual nacionali'!$A$4,"indicador","SUIZA","mes",12,"año",2009),"-")</f>
        <v>877</v>
      </c>
      <c r="AD20" s="204">
        <f t="shared" ref="AD20:AD71" si="38">IFERROR(AC20/AC33-1,"-")</f>
        <v>3.664302600472813E-2</v>
      </c>
      <c r="AE20" s="203">
        <f>IFERROR(GETPIVOTDATA("dato",'[1]evolucion mensual nacionali'!$A$4,"indicador","AUSTRIA","mes",12,"año",2009),"-")</f>
        <v>1161</v>
      </c>
      <c r="AF20" s="204">
        <f t="shared" ref="AF20:AF71" si="39">IFERROR(AE20/AE33-1,"-")</f>
        <v>0.26058631921824094</v>
      </c>
      <c r="AG20" s="203">
        <f>IFERROR(GETPIVOTDATA("dato",'[1]evolucion mensual nacionali'!$A$4,"indicador","RUSIA","mes",12,"año",2009),"-")</f>
        <v>2697</v>
      </c>
      <c r="AH20" s="204">
        <f t="shared" ref="AH20:AH71" si="40">IFERROR(AG20/AG33-1,"-")</f>
        <v>-0.19612518628912068</v>
      </c>
      <c r="AI20" s="203">
        <f>IFERROR(GETPIVOTDATA("dato",'[1]evolucion mensual nacionali'!$A$4,"indicador","PAÍSES DEL ESTE","mes",12,"año",2009),"-")</f>
        <v>3498</v>
      </c>
      <c r="AJ20" s="204">
        <f t="shared" ref="AJ20:AJ71" si="41">IFERROR(AI20/AI33-1,"-")</f>
        <v>0.16135458167330685</v>
      </c>
      <c r="AK20" s="203">
        <f>IFERROR(GETPIVOTDATA("dato",'[1]evolucion mensual nacionali'!$A$4,"indicador","RESTO DE EUROPA","mes",12,"año",2009),"-")</f>
        <v>2456</v>
      </c>
      <c r="AL20" s="204">
        <f t="shared" ref="AL20:AL71" si="42">IFERROR(AK20/AK33-1,"-")</f>
        <v>-0.21130378933847138</v>
      </c>
      <c r="AM20" s="203">
        <f>IFERROR(GETPIVOTDATA("dato",'[1]evolucion mensual nacionali'!$A$4,"indicador","USA","mes",12,"año",2009),"-")</f>
        <v>256</v>
      </c>
      <c r="AN20" s="204">
        <f t="shared" ref="AN20:AN71" si="43">IFERROR(AM20/AM33-1,"-")</f>
        <v>-0.21712538226299694</v>
      </c>
      <c r="AO20" s="203">
        <f>IFERROR(GETPIVOTDATA("dato",'[1]evolucion mensual nacionali'!$A$4,"indicador","RESTO DE AMÉRICA","mes",12,"año",2009),"-")</f>
        <v>208</v>
      </c>
      <c r="AP20" s="204">
        <f t="shared" ref="AP20:AP71" si="44">IFERROR(AO20/AO33-1,"-")</f>
        <v>9.473684210526323E-2</v>
      </c>
      <c r="AQ20" s="203">
        <f>IFERROR(GETPIVOTDATA("dato",'[1]evolucion mensual nacionali'!$A$4,"indicador","RESTO DEL MUNDO","mes",12,"año",2009),"-")</f>
        <v>469</v>
      </c>
      <c r="AR20" s="204">
        <f t="shared" ref="AR20:AR71" si="45">IFERROR(AQ20/AQ33-1,"-")</f>
        <v>-7.6771653543307061E-2</v>
      </c>
      <c r="AS20" s="203">
        <f>AU20-C20</f>
        <v>108035</v>
      </c>
      <c r="AT20" s="204">
        <f t="shared" ref="AT20:AT71" si="46">IFERROR(AS20/AS33-1,"-")</f>
        <v>-9.8649246197615503E-2</v>
      </c>
      <c r="AU20" s="205">
        <f>IFERROR(GETPIVOTDATA("dato",'[1]evolucion mensual nacionali'!$A$4,"indicador","TOTAL","mes",12,"año",2009),"-")</f>
        <v>132073</v>
      </c>
      <c r="AV20" s="206">
        <f t="shared" ref="AV20:AV71" si="47">IFERROR(AU20/AU33-1,"-")</f>
        <v>-6.8806757290315268E-2</v>
      </c>
    </row>
    <row r="21" spans="2:48" ht="15" hidden="1" customHeight="1" outlineLevel="1">
      <c r="B21" s="51" t="s">
        <v>38</v>
      </c>
      <c r="C21" s="203">
        <f>IFERROR(GETPIVOTDATA("dato",'[1]evolucion mensual nacionali'!$A$4,"indicador","España","mes",11,"año",2009),"-")</f>
        <v>18367</v>
      </c>
      <c r="D21" s="204">
        <f t="shared" si="25"/>
        <v>-0.20564830032004155</v>
      </c>
      <c r="E21" s="203">
        <f>IFERROR(GETPIVOTDATA("dato",'[1]evolucion mensual nacionali'!$A$4,"indicador","HOLANDA","mes",11,"año",2009),"-")</f>
        <v>3947</v>
      </c>
      <c r="F21" s="204">
        <f t="shared" si="26"/>
        <v>-0.20901803607214431</v>
      </c>
      <c r="G21" s="203">
        <f>IFERROR(GETPIVOTDATA("dato",'[1]evolucion mensual nacionali'!$A$4,"indicador","BÉLGICA","mes",11,"año",2009),"-")</f>
        <v>6045</v>
      </c>
      <c r="H21" s="204">
        <f t="shared" si="27"/>
        <v>0.19845360824742264</v>
      </c>
      <c r="I21" s="203">
        <f>IFERROR(GETPIVOTDATA("dato",'[1]evolucion mensual nacionali'!$A$4,"indicador","ALEMANIA","mes",11,"año",2009),"-")</f>
        <v>21499</v>
      </c>
      <c r="J21" s="204">
        <f t="shared" si="28"/>
        <v>-0.13022898292742136</v>
      </c>
      <c r="K21" s="203">
        <f>IFERROR(GETPIVOTDATA("dato",'[1]evolucion mensual nacionali'!$A$4,"indicador","FRANCIA","mes",11,"año",2009),"-")</f>
        <v>2795</v>
      </c>
      <c r="L21" s="204">
        <f t="shared" si="29"/>
        <v>-6.1135371179039333E-2</v>
      </c>
      <c r="M21" s="203">
        <f>IFERROR(GETPIVOTDATA("dato",'[1]evolucion mensual nacionali'!$A$4,"indicador","REINO UNIDO","mes",11,"año",2009),"-")</f>
        <v>44733</v>
      </c>
      <c r="N21" s="204">
        <f t="shared" si="30"/>
        <v>-8.2851519252060579E-2</v>
      </c>
      <c r="O21" s="203">
        <f>IFERROR(GETPIVOTDATA("dato",'[1]evolucion mensual nacionali'!$A$4,"indicador","IRLANDA","mes",11,"año",2009),"-")</f>
        <v>2361</v>
      </c>
      <c r="P21" s="204">
        <f t="shared" si="31"/>
        <v>-8.3462732919254656E-2</v>
      </c>
      <c r="Q21" s="203">
        <f>IFERROR(GETPIVOTDATA("dato",'[1]evolucion mensual nacionali'!$A$4,"indicador","ITALIA","mes",11,"año",2009),"-")</f>
        <v>2167</v>
      </c>
      <c r="R21" s="204">
        <f t="shared" si="32"/>
        <v>-0.15942591155934838</v>
      </c>
      <c r="S21" s="203">
        <f t="shared" ref="S21:S32" si="48">U21+W21+Y21+AA21</f>
        <v>17237</v>
      </c>
      <c r="T21" s="204">
        <f t="shared" si="33"/>
        <v>-0.16044030977546153</v>
      </c>
      <c r="U21" s="203">
        <f>IFERROR(GETPIVOTDATA("dato",'[1]evolucion mensual nacionali'!$A$4,"indicador","SUECIA","mes",11,"año",2009),"-")</f>
        <v>5413</v>
      </c>
      <c r="V21" s="204">
        <f t="shared" si="34"/>
        <v>-0.14418972332015811</v>
      </c>
      <c r="W21" s="203">
        <f>IFERROR(GETPIVOTDATA("dato",'[1]evolucion mensual nacionali'!$A$4,"indicador","NORUEGA","mes",11,"año",2009),"-")</f>
        <v>4044</v>
      </c>
      <c r="X21" s="204">
        <f t="shared" si="35"/>
        <v>-0.17553516819571868</v>
      </c>
      <c r="Y21" s="203">
        <f>IFERROR(GETPIVOTDATA("dato",'[1]evolucion mensual nacionali'!$A$4,"indicador","DINAMARCA","mes",11,"año",2009),"-")</f>
        <v>3635</v>
      </c>
      <c r="Z21" s="204">
        <f t="shared" si="36"/>
        <v>-0.45899687453490101</v>
      </c>
      <c r="AA21" s="203">
        <f>IFERROR(GETPIVOTDATA("dato",'[1]evolucion mensual nacionali'!$A$4,"indicador","FINLANDIA","mes",11,"año",2009),"-")</f>
        <v>4145</v>
      </c>
      <c r="AB21" s="204">
        <f t="shared" si="37"/>
        <v>0.60534469403563129</v>
      </c>
      <c r="AC21" s="203">
        <f>IFERROR(GETPIVOTDATA("dato",'[1]evolucion mensual nacionali'!$A$4,"indicador","SUIZA","mes",11,"año",2009),"-")</f>
        <v>1209</v>
      </c>
      <c r="AD21" s="204">
        <f t="shared" si="38"/>
        <v>-5.7565789473684736E-3</v>
      </c>
      <c r="AE21" s="203">
        <f>IFERROR(GETPIVOTDATA("dato",'[1]evolucion mensual nacionali'!$A$4,"indicador","AUSTRIA","mes",11,"año",2009),"-")</f>
        <v>1384</v>
      </c>
      <c r="AF21" s="204">
        <f t="shared" si="39"/>
        <v>0.13815789473684204</v>
      </c>
      <c r="AG21" s="203">
        <f>IFERROR(GETPIVOTDATA("dato",'[1]evolucion mensual nacionali'!$A$4,"indicador","RUSIA","mes",11,"año",2009),"-")</f>
        <v>2776</v>
      </c>
      <c r="AH21" s="204">
        <f t="shared" si="40"/>
        <v>-0.29863567458312279</v>
      </c>
      <c r="AI21" s="203">
        <f>IFERROR(GETPIVOTDATA("dato",'[1]evolucion mensual nacionali'!$A$4,"indicador","PAÍSES DEL ESTE","mes",11,"año",2009),"-")</f>
        <v>2865</v>
      </c>
      <c r="AJ21" s="204">
        <f t="shared" si="41"/>
        <v>-0.11135235732009929</v>
      </c>
      <c r="AK21" s="203">
        <f>IFERROR(GETPIVOTDATA("dato",'[1]evolucion mensual nacionali'!$A$4,"indicador","RESTO DE EUROPA","mes",11,"año",2009),"-")</f>
        <v>2856</v>
      </c>
      <c r="AL21" s="204">
        <f t="shared" si="42"/>
        <v>-0.15602836879432624</v>
      </c>
      <c r="AM21" s="203">
        <f>IFERROR(GETPIVOTDATA("dato",'[1]evolucion mensual nacionali'!$A$4,"indicador","USA","mes",11,"año",2009),"-")</f>
        <v>130</v>
      </c>
      <c r="AN21" s="204">
        <f t="shared" si="43"/>
        <v>-0.59501557632398749</v>
      </c>
      <c r="AO21" s="203">
        <f>IFERROR(GETPIVOTDATA("dato",'[1]evolucion mensual nacionali'!$A$4,"indicador","RESTO DE AMÉRICA","mes",11,"año",2009),"-")</f>
        <v>166</v>
      </c>
      <c r="AP21" s="204">
        <f t="shared" si="44"/>
        <v>5.7324840764331197E-2</v>
      </c>
      <c r="AQ21" s="203">
        <f>IFERROR(GETPIVOTDATA("dato",'[1]evolucion mensual nacionali'!$A$4,"indicador","RESTO DEL MUNDO","mes",11,"año",2009),"-")</f>
        <v>370</v>
      </c>
      <c r="AR21" s="204">
        <f t="shared" si="45"/>
        <v>0.20915032679738554</v>
      </c>
      <c r="AS21" s="203">
        <f t="shared" ref="AS21:AS32" si="49">AU21-C21</f>
        <v>112540</v>
      </c>
      <c r="AT21" s="204">
        <f t="shared" si="46"/>
        <v>-0.10661268556005399</v>
      </c>
      <c r="AU21" s="205">
        <f>IFERROR(GETPIVOTDATA("dato",'[1]evolucion mensual nacionali'!$A$4,"indicador","TOTAL","mes",11,"año",2009),"-")</f>
        <v>130907</v>
      </c>
      <c r="AV21" s="206">
        <f t="shared" si="47"/>
        <v>-0.12197166849998664</v>
      </c>
    </row>
    <row r="22" spans="2:48" ht="15" hidden="1" customHeight="1" outlineLevel="1">
      <c r="B22" s="51" t="s">
        <v>39</v>
      </c>
      <c r="C22" s="203">
        <f>IFERROR(GETPIVOTDATA("dato",'[1]evolucion mensual nacionali'!$A$4,"indicador","España","mes",10,"año",2009),"-")</f>
        <v>27996</v>
      </c>
      <c r="D22" s="204">
        <f t="shared" si="25"/>
        <v>0.13321190042501518</v>
      </c>
      <c r="E22" s="203">
        <f>IFERROR(GETPIVOTDATA("dato",'[1]evolucion mensual nacionali'!$A$4,"indicador","HOLANDA","mes",10,"año",2009),"-")</f>
        <v>5676</v>
      </c>
      <c r="F22" s="204">
        <f t="shared" si="26"/>
        <v>-0.29621822690638566</v>
      </c>
      <c r="G22" s="203">
        <f>IFERROR(GETPIVOTDATA("dato",'[1]evolucion mensual nacionali'!$A$4,"indicador","BÉLGICA","mes",10,"año",2009),"-")</f>
        <v>4533</v>
      </c>
      <c r="H22" s="204">
        <f t="shared" si="27"/>
        <v>-8.2202875075926274E-2</v>
      </c>
      <c r="I22" s="203">
        <f>IFERROR(GETPIVOTDATA("dato",'[1]evolucion mensual nacionali'!$A$4,"indicador","ALEMANIA","mes",10,"año",2009),"-")</f>
        <v>20125</v>
      </c>
      <c r="J22" s="204">
        <f t="shared" si="28"/>
        <v>-7.2794287030638061E-2</v>
      </c>
      <c r="K22" s="203">
        <f>IFERROR(GETPIVOTDATA("dato",'[1]evolucion mensual nacionali'!$A$4,"indicador","FRANCIA","mes",10,"año",2009),"-")</f>
        <v>3398</v>
      </c>
      <c r="L22" s="204">
        <f t="shared" si="29"/>
        <v>-7.8133478024959291E-2</v>
      </c>
      <c r="M22" s="203">
        <f>IFERROR(GETPIVOTDATA("dato",'[1]evolucion mensual nacionali'!$A$4,"indicador","REINO UNIDO","mes",10,"año",2009),"-")</f>
        <v>54449</v>
      </c>
      <c r="N22" s="204">
        <f t="shared" si="30"/>
        <v>-0.10064087740741967</v>
      </c>
      <c r="O22" s="203">
        <f>IFERROR(GETPIVOTDATA("dato",'[1]evolucion mensual nacionali'!$A$4,"indicador","IRLANDA","mes",10,"año",2009),"-")</f>
        <v>1989</v>
      </c>
      <c r="P22" s="204">
        <f t="shared" si="31"/>
        <v>-0.42163419598720553</v>
      </c>
      <c r="Q22" s="203">
        <f>IFERROR(GETPIVOTDATA("dato",'[1]evolucion mensual nacionali'!$A$4,"indicador","ITALIA","mes",10,"año",2009),"-")</f>
        <v>2420</v>
      </c>
      <c r="R22" s="204">
        <f t="shared" si="32"/>
        <v>7.2695035460992985E-2</v>
      </c>
      <c r="S22" s="203">
        <f t="shared" si="48"/>
        <v>10818</v>
      </c>
      <c r="T22" s="204">
        <f t="shared" si="33"/>
        <v>-8.7704503288918878E-2</v>
      </c>
      <c r="U22" s="203">
        <f>IFERROR(GETPIVOTDATA("dato",'[1]evolucion mensual nacionali'!$A$4,"indicador","SUECIA","mes",10,"año",2009),"-")</f>
        <v>4521</v>
      </c>
      <c r="V22" s="204">
        <f t="shared" si="34"/>
        <v>0.21958456973293772</v>
      </c>
      <c r="W22" s="203">
        <f>IFERROR(GETPIVOTDATA("dato",'[1]evolucion mensual nacionali'!$A$4,"indicador","NORUEGA","mes",10,"año",2009),"-")</f>
        <v>1605</v>
      </c>
      <c r="X22" s="204">
        <f t="shared" si="35"/>
        <v>-0.4022346368715084</v>
      </c>
      <c r="Y22" s="203">
        <f>IFERROR(GETPIVOTDATA("dato",'[1]evolucion mensual nacionali'!$A$4,"indicador","DINAMARCA","mes",10,"año",2009),"-")</f>
        <v>2250</v>
      </c>
      <c r="Z22" s="204">
        <f t="shared" si="36"/>
        <v>-0.34094903339191562</v>
      </c>
      <c r="AA22" s="203">
        <f>IFERROR(GETPIVOTDATA("dato",'[1]evolucion mensual nacionali'!$A$4,"indicador","FINLANDIA","mes",10,"año",2009),"-")</f>
        <v>2442</v>
      </c>
      <c r="AB22" s="204">
        <f t="shared" si="37"/>
        <v>0.19005847953216382</v>
      </c>
      <c r="AC22" s="203">
        <f>IFERROR(GETPIVOTDATA("dato",'[1]evolucion mensual nacionali'!$A$4,"indicador","SUIZA","mes",10,"año",2009),"-")</f>
        <v>1634</v>
      </c>
      <c r="AD22" s="204">
        <f t="shared" si="38"/>
        <v>0.35041322314049594</v>
      </c>
      <c r="AE22" s="203">
        <f>IFERROR(GETPIVOTDATA("dato",'[1]evolucion mensual nacionali'!$A$4,"indicador","AUSTRIA","mes",10,"año",2009),"-")</f>
        <v>819</v>
      </c>
      <c r="AF22" s="204">
        <f t="shared" si="39"/>
        <v>5.4054054054053946E-2</v>
      </c>
      <c r="AG22" s="203">
        <f>IFERROR(GETPIVOTDATA("dato",'[1]evolucion mensual nacionali'!$A$4,"indicador","RUSIA","mes",10,"año",2009),"-")</f>
        <v>3864</v>
      </c>
      <c r="AH22" s="204">
        <f t="shared" si="40"/>
        <v>-0.6068376068376069</v>
      </c>
      <c r="AI22" s="203">
        <f>IFERROR(GETPIVOTDATA("dato",'[1]evolucion mensual nacionali'!$A$4,"indicador","PAÍSES DEL ESTE","mes",10,"año",2009),"-")</f>
        <v>4071</v>
      </c>
      <c r="AJ22" s="204">
        <f t="shared" si="41"/>
        <v>0.35835835835835828</v>
      </c>
      <c r="AK22" s="203">
        <f>IFERROR(GETPIVOTDATA("dato",'[1]evolucion mensual nacionali'!$A$4,"indicador","RESTO DE EUROPA","mes",10,"año",2009),"-")</f>
        <v>2729</v>
      </c>
      <c r="AL22" s="204">
        <f t="shared" si="42"/>
        <v>-0.19284235433303754</v>
      </c>
      <c r="AM22" s="203">
        <f>IFERROR(GETPIVOTDATA("dato",'[1]evolucion mensual nacionali'!$A$4,"indicador","USA","mes",10,"año",2009),"-")</f>
        <v>224</v>
      </c>
      <c r="AN22" s="204">
        <f t="shared" si="43"/>
        <v>-0.37777777777777777</v>
      </c>
      <c r="AO22" s="203">
        <f>IFERROR(GETPIVOTDATA("dato",'[1]evolucion mensual nacionali'!$A$4,"indicador","RESTO DE AMÉRICA","mes",10,"año",2009),"-")</f>
        <v>225</v>
      </c>
      <c r="AP22" s="204">
        <f t="shared" si="44"/>
        <v>8.9686098654708779E-3</v>
      </c>
      <c r="AQ22" s="203">
        <f>IFERROR(GETPIVOTDATA("dato",'[1]evolucion mensual nacionali'!$A$4,"indicador","RESTO DEL MUNDO","mes",10,"año",2009),"-")</f>
        <v>388</v>
      </c>
      <c r="AR22" s="204">
        <f t="shared" si="45"/>
        <v>-0.17796610169491522</v>
      </c>
      <c r="AS22" s="203">
        <f t="shared" si="49"/>
        <v>117362</v>
      </c>
      <c r="AT22" s="204">
        <f t="shared" si="46"/>
        <v>-0.13537844966037516</v>
      </c>
      <c r="AU22" s="205">
        <f>IFERROR(GETPIVOTDATA("dato",'[1]evolucion mensual nacionali'!$A$4,"indicador","TOTAL","mes",10,"año",2009),"-")</f>
        <v>145358</v>
      </c>
      <c r="AV22" s="206">
        <f t="shared" si="47"/>
        <v>-9.402092955130481E-2</v>
      </c>
    </row>
    <row r="23" spans="2:48" ht="15" hidden="1" customHeight="1" outlineLevel="1">
      <c r="B23" s="51" t="s">
        <v>40</v>
      </c>
      <c r="C23" s="203">
        <f>IFERROR(GETPIVOTDATA("dato",'[1]evolucion mensual nacionali'!$A$4,"indicador","España","mes",9,"año",2009),"-")</f>
        <v>35046</v>
      </c>
      <c r="D23" s="204">
        <f t="shared" si="25"/>
        <v>-6.0882148025081739E-2</v>
      </c>
      <c r="E23" s="203">
        <f>IFERROR(GETPIVOTDATA("dato",'[1]evolucion mensual nacionali'!$A$4,"indicador","HOLANDA","mes",9,"año",2009),"-")</f>
        <v>3937</v>
      </c>
      <c r="F23" s="204">
        <f t="shared" si="26"/>
        <v>-0.17962075432381741</v>
      </c>
      <c r="G23" s="203">
        <f>IFERROR(GETPIVOTDATA("dato",'[1]evolucion mensual nacionali'!$A$4,"indicador","BÉLGICA","mes",9,"año",2009),"-")</f>
        <v>4010</v>
      </c>
      <c r="H23" s="204">
        <f t="shared" si="27"/>
        <v>0.10957387935805207</v>
      </c>
      <c r="I23" s="203">
        <f>IFERROR(GETPIVOTDATA("dato",'[1]evolucion mensual nacionali'!$A$4,"indicador","ALEMANIA","mes",9,"año",2009),"-")</f>
        <v>17237</v>
      </c>
      <c r="J23" s="204">
        <f t="shared" si="28"/>
        <v>-0.10130344108446299</v>
      </c>
      <c r="K23" s="203">
        <f>IFERROR(GETPIVOTDATA("dato",'[1]evolucion mensual nacionali'!$A$4,"indicador","FRANCIA","mes",9,"año",2009),"-")</f>
        <v>1922</v>
      </c>
      <c r="L23" s="204">
        <f t="shared" si="29"/>
        <v>-0.21294021294021293</v>
      </c>
      <c r="M23" s="203">
        <f>IFERROR(GETPIVOTDATA("dato",'[1]evolucion mensual nacionali'!$A$4,"indicador","REINO UNIDO","mes",9,"año",2009),"-")</f>
        <v>41479</v>
      </c>
      <c r="N23" s="204">
        <f t="shared" si="30"/>
        <v>-0.1080552210562532</v>
      </c>
      <c r="O23" s="203">
        <f>IFERROR(GETPIVOTDATA("dato",'[1]evolucion mensual nacionali'!$A$4,"indicador","IRLANDA","mes",9,"año",2009),"-")</f>
        <v>1822</v>
      </c>
      <c r="P23" s="204">
        <f t="shared" si="31"/>
        <v>-0.44332416743049186</v>
      </c>
      <c r="Q23" s="203">
        <f>IFERROR(GETPIVOTDATA("dato",'[1]evolucion mensual nacionali'!$A$4,"indicador","ITALIA","mes",9,"año",2009),"-")</f>
        <v>2390</v>
      </c>
      <c r="R23" s="204">
        <f t="shared" si="32"/>
        <v>3.3585222502099388E-3</v>
      </c>
      <c r="S23" s="203">
        <f t="shared" si="48"/>
        <v>3204</v>
      </c>
      <c r="T23" s="204">
        <f t="shared" si="33"/>
        <v>0.29979716024340775</v>
      </c>
      <c r="U23" s="203">
        <f>IFERROR(GETPIVOTDATA("dato",'[1]evolucion mensual nacionali'!$A$4,"indicador","SUECIA","mes",9,"año",2009),"-")</f>
        <v>1514</v>
      </c>
      <c r="V23" s="204">
        <f t="shared" si="34"/>
        <v>1.30441400304414</v>
      </c>
      <c r="W23" s="203">
        <f>IFERROR(GETPIVOTDATA("dato",'[1]evolucion mensual nacionali'!$A$4,"indicador","NORUEGA","mes",9,"año",2009),"-")</f>
        <v>500</v>
      </c>
      <c r="X23" s="204">
        <f t="shared" si="35"/>
        <v>-0.2503748125937032</v>
      </c>
      <c r="Y23" s="203">
        <f>IFERROR(GETPIVOTDATA("dato",'[1]evolucion mensual nacionali'!$A$4,"indicador","DINAMARCA","mes",9,"año",2009),"-")</f>
        <v>1033</v>
      </c>
      <c r="Z23" s="204">
        <f t="shared" si="36"/>
        <v>-7.1043165467625902E-2</v>
      </c>
      <c r="AA23" s="203">
        <f>IFERROR(GETPIVOTDATA("dato",'[1]evolucion mensual nacionali'!$A$4,"indicador","FINLANDIA","mes",9,"año",2009),"-")</f>
        <v>157</v>
      </c>
      <c r="AB23" s="204">
        <f t="shared" si="37"/>
        <v>4.4137931034482758</v>
      </c>
      <c r="AC23" s="203">
        <f>IFERROR(GETPIVOTDATA("dato",'[1]evolucion mensual nacionali'!$A$4,"indicador","SUIZA","mes",9,"año",2009),"-")</f>
        <v>1069</v>
      </c>
      <c r="AD23" s="204">
        <f t="shared" si="38"/>
        <v>3.3849129593810368E-2</v>
      </c>
      <c r="AE23" s="203">
        <f>IFERROR(GETPIVOTDATA("dato",'[1]evolucion mensual nacionali'!$A$4,"indicador","AUSTRIA","mes",9,"año",2009),"-")</f>
        <v>586</v>
      </c>
      <c r="AF23" s="204">
        <f t="shared" si="39"/>
        <v>-0.1769662921348315</v>
      </c>
      <c r="AG23" s="203">
        <f>IFERROR(GETPIVOTDATA("dato",'[1]evolucion mensual nacionali'!$A$4,"indicador","RUSIA","mes",9,"año",2009),"-")</f>
        <v>2957</v>
      </c>
      <c r="AH23" s="204">
        <f t="shared" si="40"/>
        <v>-0.2700567761046655</v>
      </c>
      <c r="AI23" s="203">
        <f>IFERROR(GETPIVOTDATA("dato",'[1]evolucion mensual nacionali'!$A$4,"indicador","PAÍSES DEL ESTE","mes",9,"año",2009),"-")</f>
        <v>4480</v>
      </c>
      <c r="AJ23" s="204">
        <f t="shared" si="41"/>
        <v>-1.3433164501211237E-2</v>
      </c>
      <c r="AK23" s="203">
        <f>IFERROR(GETPIVOTDATA("dato",'[1]evolucion mensual nacionali'!$A$4,"indicador","RESTO DE EUROPA","mes",9,"año",2009),"-")</f>
        <v>3631</v>
      </c>
      <c r="AL23" s="204">
        <f t="shared" si="42"/>
        <v>-0.18422826331161535</v>
      </c>
      <c r="AM23" s="203">
        <f>IFERROR(GETPIVOTDATA("dato",'[1]evolucion mensual nacionali'!$A$4,"indicador","USA","mes",9,"año",2009),"-")</f>
        <v>212</v>
      </c>
      <c r="AN23" s="204">
        <f t="shared" si="43"/>
        <v>0.20454545454545459</v>
      </c>
      <c r="AO23" s="203">
        <f>IFERROR(GETPIVOTDATA("dato",'[1]evolucion mensual nacionali'!$A$4,"indicador","RESTO DE AMÉRICA","mes",9,"año",2009),"-")</f>
        <v>187</v>
      </c>
      <c r="AP23" s="204">
        <f t="shared" si="44"/>
        <v>0.19871794871794868</v>
      </c>
      <c r="AQ23" s="203">
        <f>IFERROR(GETPIVOTDATA("dato",'[1]evolucion mensual nacionali'!$A$4,"indicador","RESTO DEL MUNDO","mes",9,"año",2009),"-")</f>
        <v>426</v>
      </c>
      <c r="AR23" s="204">
        <f t="shared" si="45"/>
        <v>0.2456140350877194</v>
      </c>
      <c r="AS23" s="203">
        <f t="shared" si="49"/>
        <v>89549</v>
      </c>
      <c r="AT23" s="204">
        <f t="shared" si="46"/>
        <v>-0.10560116657677632</v>
      </c>
      <c r="AU23" s="205">
        <f>IFERROR(GETPIVOTDATA("dato",'[1]evolucion mensual nacionali'!$A$4,"indicador","TOTAL","mes",9,"año",2009),"-")</f>
        <v>124595</v>
      </c>
      <c r="AV23" s="206">
        <f t="shared" si="47"/>
        <v>-9.3458963911525084E-2</v>
      </c>
    </row>
    <row r="24" spans="2:48" ht="15" hidden="1" customHeight="1" outlineLevel="1">
      <c r="B24" s="51" t="s">
        <v>41</v>
      </c>
      <c r="C24" s="203">
        <f>IFERROR(GETPIVOTDATA("dato",'[1]evolucion mensual nacionali'!$A$4,"indicador","España","mes",8,"año",2009),"-")</f>
        <v>68499</v>
      </c>
      <c r="D24" s="204">
        <f t="shared" si="25"/>
        <v>7.5742823041648366E-2</v>
      </c>
      <c r="E24" s="203">
        <f>IFERROR(GETPIVOTDATA("dato",'[1]evolucion mensual nacionali'!$A$4,"indicador","HOLANDA","mes",8,"año",2009),"-")</f>
        <v>5915</v>
      </c>
      <c r="F24" s="204">
        <f t="shared" si="26"/>
        <v>4.9875754348597701E-2</v>
      </c>
      <c r="G24" s="203">
        <f>IFERROR(GETPIVOTDATA("dato",'[1]evolucion mensual nacionali'!$A$4,"indicador","BÉLGICA","mes",8,"año",2009),"-")</f>
        <v>5707</v>
      </c>
      <c r="H24" s="204">
        <f t="shared" si="27"/>
        <v>0.11443077523921108</v>
      </c>
      <c r="I24" s="203">
        <f>IFERROR(GETPIVOTDATA("dato",'[1]evolucion mensual nacionali'!$A$4,"indicador","ALEMANIA","mes",8,"año",2009),"-")</f>
        <v>16542</v>
      </c>
      <c r="J24" s="204">
        <f t="shared" si="28"/>
        <v>-0.20198755366877319</v>
      </c>
      <c r="K24" s="203">
        <f>IFERROR(GETPIVOTDATA("dato",'[1]evolucion mensual nacionali'!$A$4,"indicador","FRANCIA","mes",8,"año",2009),"-")</f>
        <v>4721</v>
      </c>
      <c r="L24" s="204">
        <f t="shared" si="29"/>
        <v>-0.21824805431362804</v>
      </c>
      <c r="M24" s="203">
        <f>IFERROR(GETPIVOTDATA("dato",'[1]evolucion mensual nacionali'!$A$4,"indicador","REINO UNIDO","mes",8,"año",2009),"-")</f>
        <v>42289</v>
      </c>
      <c r="N24" s="204">
        <f t="shared" si="30"/>
        <v>-0.25383325981473315</v>
      </c>
      <c r="O24" s="203">
        <f>IFERROR(GETPIVOTDATA("dato",'[1]evolucion mensual nacionali'!$A$4,"indicador","IRLANDA","mes",8,"año",2009),"-")</f>
        <v>2501</v>
      </c>
      <c r="P24" s="204">
        <f t="shared" si="31"/>
        <v>-0.19530244530244534</v>
      </c>
      <c r="Q24" s="203">
        <f>IFERROR(GETPIVOTDATA("dato",'[1]evolucion mensual nacionali'!$A$4,"indicador","ITALIA","mes",8,"año",2009),"-")</f>
        <v>7030</v>
      </c>
      <c r="R24" s="204">
        <f t="shared" si="32"/>
        <v>2.7777777777777679E-2</v>
      </c>
      <c r="S24" s="203">
        <f t="shared" si="48"/>
        <v>1311</v>
      </c>
      <c r="T24" s="204">
        <f t="shared" si="33"/>
        <v>-0.24219653179190748</v>
      </c>
      <c r="U24" s="203">
        <f>IFERROR(GETPIVOTDATA("dato",'[1]evolucion mensual nacionali'!$A$4,"indicador","SUECIA","mes",8,"año",2009),"-")</f>
        <v>418</v>
      </c>
      <c r="V24" s="204">
        <f t="shared" si="34"/>
        <v>0.10582010582010581</v>
      </c>
      <c r="W24" s="203">
        <f>IFERROR(GETPIVOTDATA("dato",'[1]evolucion mensual nacionali'!$A$4,"indicador","NORUEGA","mes",8,"año",2009),"-")</f>
        <v>187</v>
      </c>
      <c r="X24" s="204">
        <f t="shared" si="35"/>
        <v>-0.4281345565749235</v>
      </c>
      <c r="Y24" s="203">
        <f>IFERROR(GETPIVOTDATA("dato",'[1]evolucion mensual nacionali'!$A$4,"indicador","DINAMARCA","mes",8,"año",2009),"-")</f>
        <v>680</v>
      </c>
      <c r="Z24" s="204">
        <f t="shared" si="36"/>
        <v>-0.31104356636271535</v>
      </c>
      <c r="AA24" s="203">
        <f>IFERROR(GETPIVOTDATA("dato",'[1]evolucion mensual nacionali'!$A$4,"indicador","FINLANDIA","mes",8,"año",2009),"-")</f>
        <v>26</v>
      </c>
      <c r="AB24" s="204">
        <f t="shared" si="37"/>
        <v>-0.31578947368421051</v>
      </c>
      <c r="AC24" s="203">
        <f>IFERROR(GETPIVOTDATA("dato",'[1]evolucion mensual nacionali'!$A$4,"indicador","SUIZA","mes",8,"año",2009),"-")</f>
        <v>942</v>
      </c>
      <c r="AD24" s="204">
        <f t="shared" si="38"/>
        <v>-4.2283298097252064E-3</v>
      </c>
      <c r="AE24" s="203">
        <f>IFERROR(GETPIVOTDATA("dato",'[1]evolucion mensual nacionali'!$A$4,"indicador","AUSTRIA","mes",8,"año",2009),"-")</f>
        <v>574</v>
      </c>
      <c r="AF24" s="204">
        <f t="shared" si="39"/>
        <v>-0.38740661686232658</v>
      </c>
      <c r="AG24" s="203">
        <f>IFERROR(GETPIVOTDATA("dato",'[1]evolucion mensual nacionali'!$A$4,"indicador","RUSIA","mes",8,"año",2009),"-")</f>
        <v>3668</v>
      </c>
      <c r="AH24" s="204">
        <f t="shared" si="40"/>
        <v>-0.33029030491144784</v>
      </c>
      <c r="AI24" s="203">
        <f>IFERROR(GETPIVOTDATA("dato",'[1]evolucion mensual nacionali'!$A$4,"indicador","PAÍSES DEL ESTE","mes",8,"año",2009),"-")</f>
        <v>3594</v>
      </c>
      <c r="AJ24" s="204">
        <f t="shared" si="41"/>
        <v>-1.2637362637362592E-2</v>
      </c>
      <c r="AK24" s="203">
        <f>IFERROR(GETPIVOTDATA("dato",'[1]evolucion mensual nacionali'!$A$4,"indicador","RESTO DE EUROPA","mes",8,"año",2009),"-")</f>
        <v>5495</v>
      </c>
      <c r="AL24" s="204">
        <f t="shared" si="42"/>
        <v>-0.10621340273259594</v>
      </c>
      <c r="AM24" s="203">
        <f>IFERROR(GETPIVOTDATA("dato",'[1]evolucion mensual nacionali'!$A$4,"indicador","USA","mes",8,"año",2009),"-")</f>
        <v>309</v>
      </c>
      <c r="AN24" s="204">
        <f t="shared" si="43"/>
        <v>3.0000000000000027E-2</v>
      </c>
      <c r="AO24" s="203">
        <f>IFERROR(GETPIVOTDATA("dato",'[1]evolucion mensual nacionali'!$A$4,"indicador","RESTO DE AMÉRICA","mes",8,"año",2009),"-")</f>
        <v>358</v>
      </c>
      <c r="AP24" s="204">
        <f t="shared" si="44"/>
        <v>0.35094339622641502</v>
      </c>
      <c r="AQ24" s="203">
        <f>IFERROR(GETPIVOTDATA("dato",'[1]evolucion mensual nacionali'!$A$4,"indicador","RESTO DEL MUNDO","mes",8,"año",2009),"-")</f>
        <v>805</v>
      </c>
      <c r="AR24" s="204">
        <f t="shared" si="45"/>
        <v>9.8226466575716209E-2</v>
      </c>
      <c r="AS24" s="203">
        <f t="shared" si="49"/>
        <v>101761</v>
      </c>
      <c r="AT24" s="204">
        <f t="shared" si="46"/>
        <v>-0.18147230578658646</v>
      </c>
      <c r="AU24" s="205">
        <f>IFERROR(GETPIVOTDATA("dato",'[1]evolucion mensual nacionali'!$A$4,"indicador","TOTAL","mes",8,"año",2009),"-")</f>
        <v>170260</v>
      </c>
      <c r="AV24" s="206">
        <f t="shared" si="47"/>
        <v>-9.4352067575186993E-2</v>
      </c>
    </row>
    <row r="25" spans="2:48" ht="15" hidden="1" customHeight="1" outlineLevel="1">
      <c r="B25" s="51" t="s">
        <v>42</v>
      </c>
      <c r="C25" s="203">
        <f>IFERROR(GETPIVOTDATA("dato",'[1]evolucion mensual nacionali'!$A$4,"indicador","España","mes",7,"año",2009),"-")</f>
        <v>47821</v>
      </c>
      <c r="D25" s="204">
        <f t="shared" si="25"/>
        <v>4.6342690851804091E-2</v>
      </c>
      <c r="E25" s="203">
        <f>IFERROR(GETPIVOTDATA("dato",'[1]evolucion mensual nacionali'!$A$4,"indicador","HOLANDA","mes",7,"año",2009),"-")</f>
        <v>6939</v>
      </c>
      <c r="F25" s="204">
        <f t="shared" si="26"/>
        <v>-7.9708222811671114E-2</v>
      </c>
      <c r="G25" s="203">
        <f>IFERROR(GETPIVOTDATA("dato",'[1]evolucion mensual nacionali'!$A$4,"indicador","BÉLGICA","mes",7,"año",2009),"-")</f>
        <v>5674</v>
      </c>
      <c r="H25" s="204">
        <f t="shared" si="27"/>
        <v>0.28691313222953041</v>
      </c>
      <c r="I25" s="203">
        <f>IFERROR(GETPIVOTDATA("dato",'[1]evolucion mensual nacionali'!$A$4,"indicador","ALEMANIA","mes",7,"año",2009),"-")</f>
        <v>17699</v>
      </c>
      <c r="J25" s="204">
        <f t="shared" si="28"/>
        <v>-9.6298187388307421E-2</v>
      </c>
      <c r="K25" s="203">
        <f>IFERROR(GETPIVOTDATA("dato",'[1]evolucion mensual nacionali'!$A$4,"indicador","FRANCIA","mes",7,"año",2009),"-")</f>
        <v>2986</v>
      </c>
      <c r="L25" s="204">
        <f t="shared" si="29"/>
        <v>-0.21524310118265444</v>
      </c>
      <c r="M25" s="203">
        <f>IFERROR(GETPIVOTDATA("dato",'[1]evolucion mensual nacionali'!$A$4,"indicador","REINO UNIDO","mes",7,"año",2009),"-")</f>
        <v>45475</v>
      </c>
      <c r="N25" s="204">
        <f t="shared" si="30"/>
        <v>-0.16108620657848616</v>
      </c>
      <c r="O25" s="203">
        <f>IFERROR(GETPIVOTDATA("dato",'[1]evolucion mensual nacionali'!$A$4,"indicador","IRLANDA","mes",7,"año",2009),"-")</f>
        <v>2273</v>
      </c>
      <c r="P25" s="204">
        <f t="shared" si="31"/>
        <v>-0.17465504720406677</v>
      </c>
      <c r="Q25" s="203">
        <f>IFERROR(GETPIVOTDATA("dato",'[1]evolucion mensual nacionali'!$A$4,"indicador","ITALIA","mes",7,"año",2009),"-")</f>
        <v>2931</v>
      </c>
      <c r="R25" s="204">
        <f t="shared" si="32"/>
        <v>-8.7200249143568942E-2</v>
      </c>
      <c r="S25" s="203">
        <f t="shared" si="48"/>
        <v>3094</v>
      </c>
      <c r="T25" s="204">
        <f t="shared" si="33"/>
        <v>0.22099447513812165</v>
      </c>
      <c r="U25" s="203">
        <f>IFERROR(GETPIVOTDATA("dato",'[1]evolucion mensual nacionali'!$A$4,"indicador","SUECIA","mes",7,"año",2009),"-")</f>
        <v>1241</v>
      </c>
      <c r="V25" s="204">
        <f t="shared" si="34"/>
        <v>1.4623015873015874</v>
      </c>
      <c r="W25" s="203">
        <f>IFERROR(GETPIVOTDATA("dato",'[1]evolucion mensual nacionali'!$A$4,"indicador","NORUEGA","mes",7,"año",2009),"-")</f>
        <v>736</v>
      </c>
      <c r="X25" s="204">
        <f t="shared" si="35"/>
        <v>0.21052631578947367</v>
      </c>
      <c r="Y25" s="203">
        <f>IFERROR(GETPIVOTDATA("dato",'[1]evolucion mensual nacionali'!$A$4,"indicador","DINAMARCA","mes",7,"año",2009),"-")</f>
        <v>915</v>
      </c>
      <c r="Z25" s="204">
        <f t="shared" si="36"/>
        <v>-0.33887283236994215</v>
      </c>
      <c r="AA25" s="203">
        <f>IFERROR(GETPIVOTDATA("dato",'[1]evolucion mensual nacionali'!$A$4,"indicador","FINLANDIA","mes",7,"año",2009),"-")</f>
        <v>202</v>
      </c>
      <c r="AB25" s="204">
        <f t="shared" si="37"/>
        <v>4.3157894736842106</v>
      </c>
      <c r="AC25" s="203">
        <f>IFERROR(GETPIVOTDATA("dato",'[1]evolucion mensual nacionali'!$A$4,"indicador","SUIZA","mes",7,"año",2009),"-")</f>
        <v>1453</v>
      </c>
      <c r="AD25" s="204">
        <f t="shared" si="38"/>
        <v>0.15869218500797455</v>
      </c>
      <c r="AE25" s="203">
        <f>IFERROR(GETPIVOTDATA("dato",'[1]evolucion mensual nacionali'!$A$4,"indicador","AUSTRIA","mes",7,"año",2009),"-")</f>
        <v>815</v>
      </c>
      <c r="AF25" s="204">
        <f t="shared" si="39"/>
        <v>-0.31165540540540537</v>
      </c>
      <c r="AG25" s="203">
        <f>IFERROR(GETPIVOTDATA("dato",'[1]evolucion mensual nacionali'!$A$4,"indicador","RUSIA","mes",7,"año",2009),"-")</f>
        <v>4201</v>
      </c>
      <c r="AH25" s="204">
        <f t="shared" si="40"/>
        <v>-0.16063936063936068</v>
      </c>
      <c r="AI25" s="203">
        <f>IFERROR(GETPIVOTDATA("dato",'[1]evolucion mensual nacionali'!$A$4,"indicador","PAÍSES DEL ESTE","mes",7,"año",2009),"-")</f>
        <v>5031</v>
      </c>
      <c r="AJ25" s="204">
        <f t="shared" si="41"/>
        <v>0.34375</v>
      </c>
      <c r="AK25" s="203">
        <f>IFERROR(GETPIVOTDATA("dato",'[1]evolucion mensual nacionali'!$A$4,"indicador","RESTO DE EUROPA","mes",7,"año",2009),"-")</f>
        <v>4855</v>
      </c>
      <c r="AL25" s="204">
        <f t="shared" si="42"/>
        <v>-8.5859536810393489E-2</v>
      </c>
      <c r="AM25" s="203">
        <f>IFERROR(GETPIVOTDATA("dato",'[1]evolucion mensual nacionali'!$A$4,"indicador","USA","mes",7,"año",2009),"-")</f>
        <v>240</v>
      </c>
      <c r="AN25" s="204">
        <f t="shared" si="43"/>
        <v>-8.3969465648854991E-2</v>
      </c>
      <c r="AO25" s="203">
        <f>IFERROR(GETPIVOTDATA("dato",'[1]evolucion mensual nacionali'!$A$4,"indicador","RESTO DE AMÉRICA","mes",7,"año",2009),"-")</f>
        <v>340</v>
      </c>
      <c r="AP25" s="204">
        <f t="shared" si="44"/>
        <v>0.7</v>
      </c>
      <c r="AQ25" s="203">
        <f>IFERROR(GETPIVOTDATA("dato",'[1]evolucion mensual nacionali'!$A$4,"indicador","RESTO DEL MUNDO","mes",7,"año",2009),"-")</f>
        <v>505</v>
      </c>
      <c r="AR25" s="204">
        <f t="shared" si="45"/>
        <v>-0.10619469026548678</v>
      </c>
      <c r="AS25" s="203">
        <f t="shared" si="49"/>
        <v>104511</v>
      </c>
      <c r="AT25" s="204">
        <f t="shared" si="46"/>
        <v>-9.569092324997841E-2</v>
      </c>
      <c r="AU25" s="205">
        <f>IFERROR(GETPIVOTDATA("dato",'[1]evolucion mensual nacionali'!$A$4,"indicador","TOTAL","mes",7,"año",2009),"-")</f>
        <v>152332</v>
      </c>
      <c r="AV25" s="206">
        <f t="shared" si="47"/>
        <v>-5.5440154272568876E-2</v>
      </c>
    </row>
    <row r="26" spans="2:48" ht="15" hidden="1" customHeight="1" outlineLevel="1">
      <c r="B26" s="51" t="s">
        <v>43</v>
      </c>
      <c r="C26" s="203">
        <f>IFERROR(GETPIVOTDATA("dato",'[1]evolucion mensual nacionali'!$A$4,"indicador","España","mes",6,"año",2009),"-")</f>
        <v>33141</v>
      </c>
      <c r="D26" s="204">
        <f t="shared" si="25"/>
        <v>-0.17422071611890466</v>
      </c>
      <c r="E26" s="203">
        <f>IFERROR(GETPIVOTDATA("dato",'[1]evolucion mensual nacionali'!$A$4,"indicador","HOLANDA","mes",6,"año",2009),"-")</f>
        <v>3104</v>
      </c>
      <c r="F26" s="204">
        <f t="shared" si="26"/>
        <v>-0.303411131059246</v>
      </c>
      <c r="G26" s="203">
        <f>IFERROR(GETPIVOTDATA("dato",'[1]evolucion mensual nacionali'!$A$4,"indicador","BÉLGICA","mes",6,"año",2009),"-")</f>
        <v>3336</v>
      </c>
      <c r="H26" s="204">
        <f t="shared" si="27"/>
        <v>-7.8453038674033193E-2</v>
      </c>
      <c r="I26" s="203">
        <f>IFERROR(GETPIVOTDATA("dato",'[1]evolucion mensual nacionali'!$A$4,"indicador","ALEMANIA","mes",6,"año",2009),"-")</f>
        <v>15773</v>
      </c>
      <c r="J26" s="204">
        <f t="shared" si="28"/>
        <v>-0.26235794790253941</v>
      </c>
      <c r="K26" s="203">
        <f>IFERROR(GETPIVOTDATA("dato",'[1]evolucion mensual nacionali'!$A$4,"indicador","FRANCIA","mes",6,"año",2009),"-")</f>
        <v>1838</v>
      </c>
      <c r="L26" s="204">
        <f t="shared" si="29"/>
        <v>-0.21115879828326178</v>
      </c>
      <c r="M26" s="203">
        <f>IFERROR(GETPIVOTDATA("dato",'[1]evolucion mensual nacionali'!$A$4,"indicador","REINO UNIDO","mes",6,"año",2009),"-")</f>
        <v>40765</v>
      </c>
      <c r="N26" s="204">
        <f t="shared" si="30"/>
        <v>-0.19089772343846134</v>
      </c>
      <c r="O26" s="203">
        <f>IFERROR(GETPIVOTDATA("dato",'[1]evolucion mensual nacionali'!$A$4,"indicador","IRLANDA","mes",6,"año",2009),"-")</f>
        <v>2225</v>
      </c>
      <c r="P26" s="204">
        <f t="shared" si="31"/>
        <v>-0.28086619263089851</v>
      </c>
      <c r="Q26" s="203">
        <f>IFERROR(GETPIVOTDATA("dato",'[1]evolucion mensual nacionali'!$A$4,"indicador","ITALIA","mes",6,"año",2009),"-")</f>
        <v>2516</v>
      </c>
      <c r="R26" s="204">
        <f t="shared" si="32"/>
        <v>-0.34101623886851751</v>
      </c>
      <c r="S26" s="203">
        <f t="shared" si="48"/>
        <v>2500</v>
      </c>
      <c r="T26" s="204">
        <f t="shared" si="33"/>
        <v>0.44592249855407751</v>
      </c>
      <c r="U26" s="203">
        <f>IFERROR(GETPIVOTDATA("dato",'[1]evolucion mensual nacionali'!$A$4,"indicador","SUECIA","mes",6,"año",2009),"-")</f>
        <v>1046</v>
      </c>
      <c r="V26" s="204">
        <f t="shared" si="34"/>
        <v>1.5144230769230771</v>
      </c>
      <c r="W26" s="203">
        <f>IFERROR(GETPIVOTDATA("dato",'[1]evolucion mensual nacionali'!$A$4,"indicador","NORUEGA","mes",6,"año",2009),"-")</f>
        <v>409</v>
      </c>
      <c r="X26" s="204">
        <f t="shared" si="35"/>
        <v>0.12983425414364635</v>
      </c>
      <c r="Y26" s="203">
        <f>IFERROR(GETPIVOTDATA("dato",'[1]evolucion mensual nacionali'!$A$4,"indicador","DINAMARCA","mes",6,"año",2009),"-")</f>
        <v>988</v>
      </c>
      <c r="Z26" s="204">
        <f t="shared" si="36"/>
        <v>6.580366774541524E-2</v>
      </c>
      <c r="AA26" s="203">
        <f>IFERROR(GETPIVOTDATA("dato",'[1]evolucion mensual nacionali'!$A$4,"indicador","FINLANDIA","mes",6,"año",2009),"-")</f>
        <v>57</v>
      </c>
      <c r="AB26" s="204">
        <f t="shared" si="37"/>
        <v>1.375</v>
      </c>
      <c r="AC26" s="203">
        <f>IFERROR(GETPIVOTDATA("dato",'[1]evolucion mensual nacionali'!$A$4,"indicador","SUIZA","mes",6,"año",2009),"-")</f>
        <v>1063</v>
      </c>
      <c r="AD26" s="204">
        <f t="shared" si="38"/>
        <v>0.19304152637485972</v>
      </c>
      <c r="AE26" s="203">
        <f>IFERROR(GETPIVOTDATA("dato",'[1]evolucion mensual nacionali'!$A$4,"indicador","AUSTRIA","mes",6,"año",2009),"-")</f>
        <v>481</v>
      </c>
      <c r="AF26" s="204">
        <f t="shared" si="39"/>
        <v>-0.40099626400996269</v>
      </c>
      <c r="AG26" s="203">
        <f>IFERROR(GETPIVOTDATA("dato",'[1]evolucion mensual nacionali'!$A$4,"indicador","RUSIA","mes",6,"año",2009),"-")</f>
        <v>3620</v>
      </c>
      <c r="AH26" s="204">
        <f t="shared" si="40"/>
        <v>-0.29186228482003129</v>
      </c>
      <c r="AI26" s="203">
        <f>IFERROR(GETPIVOTDATA("dato",'[1]evolucion mensual nacionali'!$A$4,"indicador","PAÍSES DEL ESTE","mes",6,"año",2009),"-")</f>
        <v>5799</v>
      </c>
      <c r="AJ26" s="204">
        <f t="shared" si="41"/>
        <v>1.2812745869394178</v>
      </c>
      <c r="AK26" s="203">
        <f>IFERROR(GETPIVOTDATA("dato",'[1]evolucion mensual nacionali'!$A$4,"indicador","RESTO DE EUROPA","mes",6,"año",2009),"-")</f>
        <v>4356</v>
      </c>
      <c r="AL26" s="204">
        <f t="shared" si="42"/>
        <v>-0.11463414634146341</v>
      </c>
      <c r="AM26" s="203">
        <f>IFERROR(GETPIVOTDATA("dato",'[1]evolucion mensual nacionali'!$A$4,"indicador","USA","mes",6,"año",2009),"-")</f>
        <v>273</v>
      </c>
      <c r="AN26" s="204">
        <f t="shared" si="43"/>
        <v>0.14225941422594146</v>
      </c>
      <c r="AO26" s="203">
        <f>IFERROR(GETPIVOTDATA("dato",'[1]evolucion mensual nacionali'!$A$4,"indicador","RESTO DE AMÉRICA","mes",6,"año",2009),"-")</f>
        <v>179</v>
      </c>
      <c r="AP26" s="204">
        <f t="shared" si="44"/>
        <v>-6.770833333333337E-2</v>
      </c>
      <c r="AQ26" s="203">
        <f>IFERROR(GETPIVOTDATA("dato",'[1]evolucion mensual nacionali'!$A$4,"indicador","RESTO DEL MUNDO","mes",6,"año",2009),"-")</f>
        <v>418</v>
      </c>
      <c r="AR26" s="204">
        <f t="shared" si="45"/>
        <v>-0.4178272980501393</v>
      </c>
      <c r="AS26" s="203">
        <f t="shared" si="49"/>
        <v>88246</v>
      </c>
      <c r="AT26" s="204">
        <f t="shared" si="46"/>
        <v>-0.16929304339640405</v>
      </c>
      <c r="AU26" s="205">
        <f>IFERROR(GETPIVOTDATA("dato",'[1]evolucion mensual nacionali'!$A$4,"indicador","TOTAL","mes",6,"año",2009),"-")</f>
        <v>121387</v>
      </c>
      <c r="AV26" s="206">
        <f t="shared" si="47"/>
        <v>-0.17064422019226166</v>
      </c>
    </row>
    <row r="27" spans="2:48" ht="15" hidden="1" customHeight="1" outlineLevel="1">
      <c r="B27" s="51" t="s">
        <v>44</v>
      </c>
      <c r="C27" s="203">
        <f>IFERROR(GETPIVOTDATA("dato",'[1]evolucion mensual nacionali'!$A$4,"indicador","España","mes",5,"año",2009),"-")</f>
        <v>35470</v>
      </c>
      <c r="D27" s="204">
        <f t="shared" si="25"/>
        <v>-6.2136435748281316E-2</v>
      </c>
      <c r="E27" s="203">
        <f>IFERROR(GETPIVOTDATA("dato",'[1]evolucion mensual nacionali'!$A$4,"indicador","HOLANDA","mes",5,"año",2009),"-")</f>
        <v>4040</v>
      </c>
      <c r="F27" s="204">
        <f t="shared" si="26"/>
        <v>-0.28609294928432583</v>
      </c>
      <c r="G27" s="203">
        <f>IFERROR(GETPIVOTDATA("dato",'[1]evolucion mensual nacionali'!$A$4,"indicador","BÉLGICA","mes",5,"año",2009),"-")</f>
        <v>3425</v>
      </c>
      <c r="H27" s="204">
        <f t="shared" si="27"/>
        <v>0.12258275975090127</v>
      </c>
      <c r="I27" s="203">
        <f>IFERROR(GETPIVOTDATA("dato",'[1]evolucion mensual nacionali'!$A$4,"indicador","ALEMANIA","mes",5,"año",2009),"-")</f>
        <v>15211</v>
      </c>
      <c r="J27" s="204">
        <f t="shared" si="28"/>
        <v>-0.33677785044691522</v>
      </c>
      <c r="K27" s="203">
        <f>IFERROR(GETPIVOTDATA("dato",'[1]evolucion mensual nacionali'!$A$4,"indicador","FRANCIA","mes",5,"año",2009),"-")</f>
        <v>2479</v>
      </c>
      <c r="L27" s="204">
        <f t="shared" si="29"/>
        <v>-0.13230661533076649</v>
      </c>
      <c r="M27" s="203">
        <f>IFERROR(GETPIVOTDATA("dato",'[1]evolucion mensual nacionali'!$A$4,"indicador","REINO UNIDO","mes",5,"año",2009),"-")</f>
        <v>44145</v>
      </c>
      <c r="N27" s="204">
        <f t="shared" si="30"/>
        <v>-0.19914008925655813</v>
      </c>
      <c r="O27" s="203">
        <f>IFERROR(GETPIVOTDATA("dato",'[1]evolucion mensual nacionali'!$A$4,"indicador","IRLANDA","mes",5,"año",2009),"-")</f>
        <v>2860</v>
      </c>
      <c r="P27" s="204">
        <f t="shared" si="31"/>
        <v>0.10169491525423724</v>
      </c>
      <c r="Q27" s="203">
        <f>IFERROR(GETPIVOTDATA("dato",'[1]evolucion mensual nacionali'!$A$4,"indicador","ITALIA","mes",5,"año",2009),"-")</f>
        <v>2040</v>
      </c>
      <c r="R27" s="204">
        <f t="shared" si="32"/>
        <v>-0.13302167445813851</v>
      </c>
      <c r="S27" s="203">
        <f t="shared" si="48"/>
        <v>1869</v>
      </c>
      <c r="T27" s="204">
        <f t="shared" si="33"/>
        <v>0.14172266340867434</v>
      </c>
      <c r="U27" s="203">
        <f>IFERROR(GETPIVOTDATA("dato",'[1]evolucion mensual nacionali'!$A$4,"indicador","SUECIA","mes",5,"año",2009),"-")</f>
        <v>805</v>
      </c>
      <c r="V27" s="204">
        <f t="shared" si="34"/>
        <v>1.9166666666666665</v>
      </c>
      <c r="W27" s="203">
        <f>IFERROR(GETPIVOTDATA("dato",'[1]evolucion mensual nacionali'!$A$4,"indicador","NORUEGA","mes",5,"año",2009),"-")</f>
        <v>65</v>
      </c>
      <c r="X27" s="204">
        <f t="shared" si="35"/>
        <v>-0.81690140845070425</v>
      </c>
      <c r="Y27" s="203">
        <f>IFERROR(GETPIVOTDATA("dato",'[1]evolucion mensual nacionali'!$A$4,"indicador","DINAMARCA","mes",5,"año",2009),"-")</f>
        <v>841</v>
      </c>
      <c r="Z27" s="204">
        <f t="shared" si="36"/>
        <v>0.11538461538461542</v>
      </c>
      <c r="AA27" s="203">
        <f>IFERROR(GETPIVOTDATA("dato",'[1]evolucion mensual nacionali'!$A$4,"indicador","FINLANDIA","mes",5,"año",2009),"-")</f>
        <v>158</v>
      </c>
      <c r="AB27" s="204">
        <f t="shared" si="37"/>
        <v>-0.37301587301587302</v>
      </c>
      <c r="AC27" s="203">
        <f>IFERROR(GETPIVOTDATA("dato",'[1]evolucion mensual nacionali'!$A$4,"indicador","SUIZA","mes",5,"año",2009),"-")</f>
        <v>917</v>
      </c>
      <c r="AD27" s="204">
        <f t="shared" si="38"/>
        <v>-0.13653483992467041</v>
      </c>
      <c r="AE27" s="203">
        <f>IFERROR(GETPIVOTDATA("dato",'[1]evolucion mensual nacionali'!$A$4,"indicador","AUSTRIA","mes",5,"año",2009),"-")</f>
        <v>653</v>
      </c>
      <c r="AF27" s="204">
        <f t="shared" si="39"/>
        <v>-0.51086142322097383</v>
      </c>
      <c r="AG27" s="203">
        <f>IFERROR(GETPIVOTDATA("dato",'[1]evolucion mensual nacionali'!$A$4,"indicador","RUSIA","mes",5,"año",2009),"-")</f>
        <v>4491</v>
      </c>
      <c r="AH27" s="204">
        <f t="shared" si="40"/>
        <v>-0.21677711893965823</v>
      </c>
      <c r="AI27" s="203">
        <f>IFERROR(GETPIVOTDATA("dato",'[1]evolucion mensual nacionali'!$A$4,"indicador","PAÍSES DEL ESTE","mes",5,"año",2009),"-")</f>
        <v>3323</v>
      </c>
      <c r="AJ27" s="204">
        <f t="shared" si="41"/>
        <v>-0.50557952685612262</v>
      </c>
      <c r="AK27" s="203">
        <f>IFERROR(GETPIVOTDATA("dato",'[1]evolucion mensual nacionali'!$A$4,"indicador","RESTO DE EUROPA","mes",5,"año",2009),"-")</f>
        <v>2005</v>
      </c>
      <c r="AL27" s="204">
        <f t="shared" si="42"/>
        <v>-0.42351926394479589</v>
      </c>
      <c r="AM27" s="203">
        <f>IFERROR(GETPIVOTDATA("dato",'[1]evolucion mensual nacionali'!$A$4,"indicador","USA","mes",5,"año",2009),"-")</f>
        <v>236</v>
      </c>
      <c r="AN27" s="204">
        <f t="shared" si="43"/>
        <v>-7.086614173228345E-2</v>
      </c>
      <c r="AO27" s="203">
        <f>IFERROR(GETPIVOTDATA("dato",'[1]evolucion mensual nacionali'!$A$4,"indicador","RESTO DE AMÉRICA","mes",5,"año",2009),"-")</f>
        <v>204</v>
      </c>
      <c r="AP27" s="204">
        <f t="shared" si="44"/>
        <v>-0.28671328671328666</v>
      </c>
      <c r="AQ27" s="203">
        <f>IFERROR(GETPIVOTDATA("dato",'[1]evolucion mensual nacionali'!$A$4,"indicador","RESTO DEL MUNDO","mes",5,"año",2009),"-")</f>
        <v>517</v>
      </c>
      <c r="AR27" s="204">
        <f t="shared" si="45"/>
        <v>-0.1454545454545455</v>
      </c>
      <c r="AS27" s="203">
        <f t="shared" si="49"/>
        <v>88415</v>
      </c>
      <c r="AT27" s="204">
        <f t="shared" si="46"/>
        <v>-0.23572632579850461</v>
      </c>
      <c r="AU27" s="205">
        <f>IFERROR(GETPIVOTDATA("dato",'[1]evolucion mensual nacionali'!$A$4,"indicador","TOTAL","mes",5,"año",2009),"-")</f>
        <v>123885</v>
      </c>
      <c r="AV27" s="206">
        <f t="shared" si="47"/>
        <v>-0.19295788410800951</v>
      </c>
    </row>
    <row r="28" spans="2:48" ht="15" hidden="1" customHeight="1" outlineLevel="1">
      <c r="B28" s="51" t="s">
        <v>45</v>
      </c>
      <c r="C28" s="203">
        <f>IFERROR(GETPIVOTDATA("dato",'[1]evolucion mensual nacionali'!$A$4,"indicador","España","mes",4,"año",2009),"-")</f>
        <v>28804</v>
      </c>
      <c r="D28" s="204">
        <f t="shared" si="25"/>
        <v>0.16539893186599763</v>
      </c>
      <c r="E28" s="203">
        <f>IFERROR(GETPIVOTDATA("dato",'[1]evolucion mensual nacionali'!$A$4,"indicador","HOLANDA","mes",4,"año",2009),"-")</f>
        <v>6271</v>
      </c>
      <c r="F28" s="204">
        <f t="shared" si="26"/>
        <v>-0.23978664080494605</v>
      </c>
      <c r="G28" s="203">
        <f>IFERROR(GETPIVOTDATA("dato",'[1]evolucion mensual nacionali'!$A$4,"indicador","BÉLGICA","mes",4,"año",2009),"-")</f>
        <v>6813</v>
      </c>
      <c r="H28" s="204">
        <f t="shared" si="27"/>
        <v>0.5375761679079214</v>
      </c>
      <c r="I28" s="203">
        <f>IFERROR(GETPIVOTDATA("dato",'[1]evolucion mensual nacionali'!$A$4,"indicador","ALEMANIA","mes",4,"año",2009),"-")</f>
        <v>20387</v>
      </c>
      <c r="J28" s="204">
        <f t="shared" si="28"/>
        <v>-0.19868721012499013</v>
      </c>
      <c r="K28" s="203">
        <f>IFERROR(GETPIVOTDATA("dato",'[1]evolucion mensual nacionali'!$A$4,"indicador","FRANCIA","mes",4,"año",2009),"-")</f>
        <v>5416</v>
      </c>
      <c r="L28" s="204">
        <f t="shared" si="29"/>
        <v>4.5358038988612126E-2</v>
      </c>
      <c r="M28" s="203">
        <f>IFERROR(GETPIVOTDATA("dato",'[1]evolucion mensual nacionali'!$A$4,"indicador","REINO UNIDO","mes",4,"año",2009),"-")</f>
        <v>47192</v>
      </c>
      <c r="N28" s="204">
        <f t="shared" si="30"/>
        <v>-0.1888621519422482</v>
      </c>
      <c r="O28" s="203">
        <f>IFERROR(GETPIVOTDATA("dato",'[1]evolucion mensual nacionali'!$A$4,"indicador","IRLANDA","mes",4,"año",2009),"-")</f>
        <v>3057</v>
      </c>
      <c r="P28" s="204">
        <f t="shared" si="31"/>
        <v>0.36351471900089205</v>
      </c>
      <c r="Q28" s="203">
        <f>IFERROR(GETPIVOTDATA("dato",'[1]evolucion mensual nacionali'!$A$4,"indicador","ITALIA","mes",4,"año",2009),"-")</f>
        <v>2814</v>
      </c>
      <c r="R28" s="204">
        <f t="shared" si="32"/>
        <v>0.1083103584088223</v>
      </c>
      <c r="S28" s="203">
        <f t="shared" si="48"/>
        <v>8618</v>
      </c>
      <c r="T28" s="204">
        <f t="shared" si="33"/>
        <v>0.16775067750677497</v>
      </c>
      <c r="U28" s="203">
        <f>IFERROR(GETPIVOTDATA("dato",'[1]evolucion mensual nacionali'!$A$4,"indicador","SUECIA","mes",4,"año",2009),"-")</f>
        <v>3337</v>
      </c>
      <c r="V28" s="204">
        <f t="shared" si="34"/>
        <v>0.29592233009708746</v>
      </c>
      <c r="W28" s="203">
        <f>IFERROR(GETPIVOTDATA("dato",'[1]evolucion mensual nacionali'!$A$4,"indicador","NORUEGA","mes",4,"año",2009),"-")</f>
        <v>1386</v>
      </c>
      <c r="X28" s="204">
        <f t="shared" si="35"/>
        <v>0.3859999999999999</v>
      </c>
      <c r="Y28" s="203">
        <f>IFERROR(GETPIVOTDATA("dato",'[1]evolucion mensual nacionali'!$A$4,"indicador","DINAMARCA","mes",4,"año",2009),"-")</f>
        <v>2309</v>
      </c>
      <c r="Z28" s="204">
        <f t="shared" si="36"/>
        <v>-0.14828476576908889</v>
      </c>
      <c r="AA28" s="203">
        <f>IFERROR(GETPIVOTDATA("dato",'[1]evolucion mensual nacionali'!$A$4,"indicador","FINLANDIA","mes",4,"año",2009),"-")</f>
        <v>1586</v>
      </c>
      <c r="AB28" s="204">
        <f t="shared" si="37"/>
        <v>0.44972577696526517</v>
      </c>
      <c r="AC28" s="203">
        <f>IFERROR(GETPIVOTDATA("dato",'[1]evolucion mensual nacionali'!$A$4,"indicador","SUIZA","mes",4,"año",2009),"-")</f>
        <v>1061</v>
      </c>
      <c r="AD28" s="204">
        <f t="shared" si="38"/>
        <v>0.12038014783526929</v>
      </c>
      <c r="AE28" s="203">
        <f>IFERROR(GETPIVOTDATA("dato",'[1]evolucion mensual nacionali'!$A$4,"indicador","AUSTRIA","mes",4,"año",2009),"-")</f>
        <v>1093</v>
      </c>
      <c r="AF28" s="204">
        <f t="shared" si="39"/>
        <v>6.73828125E-2</v>
      </c>
      <c r="AG28" s="203">
        <f>IFERROR(GETPIVOTDATA("dato",'[1]evolucion mensual nacionali'!$A$4,"indicador","RUSIA","mes",4,"año",2009),"-")</f>
        <v>2964</v>
      </c>
      <c r="AH28" s="204">
        <f t="shared" si="40"/>
        <v>-0.35170603674540679</v>
      </c>
      <c r="AI28" s="203">
        <f>IFERROR(GETPIVOTDATA("dato",'[1]evolucion mensual nacionali'!$A$4,"indicador","PAÍSES DEL ESTE","mes",4,"año",2009),"-")</f>
        <v>3829</v>
      </c>
      <c r="AJ28" s="204">
        <f t="shared" si="41"/>
        <v>-4.2510627656914268E-2</v>
      </c>
      <c r="AK28" s="203">
        <f>IFERROR(GETPIVOTDATA("dato",'[1]evolucion mensual nacionali'!$A$4,"indicador","RESTO DE EUROPA","mes",4,"año",2009),"-")</f>
        <v>3156</v>
      </c>
      <c r="AL28" s="204">
        <f t="shared" si="42"/>
        <v>-0.12624584717607978</v>
      </c>
      <c r="AM28" s="203">
        <f>IFERROR(GETPIVOTDATA("dato",'[1]evolucion mensual nacionali'!$A$4,"indicador","USA","mes",4,"año",2009),"-")</f>
        <v>422</v>
      </c>
      <c r="AN28" s="204">
        <f t="shared" si="43"/>
        <v>0.18539325842696619</v>
      </c>
      <c r="AO28" s="203">
        <f>IFERROR(GETPIVOTDATA("dato",'[1]evolucion mensual nacionali'!$A$4,"indicador","RESTO DE AMÉRICA","mes",4,"año",2009),"-")</f>
        <v>586</v>
      </c>
      <c r="AP28" s="204">
        <f t="shared" si="44"/>
        <v>3.0413793103448272</v>
      </c>
      <c r="AQ28" s="203">
        <f>IFERROR(GETPIVOTDATA("dato",'[1]evolucion mensual nacionali'!$A$4,"indicador","RESTO DEL MUNDO","mes",4,"año",2009),"-")</f>
        <v>544</v>
      </c>
      <c r="AR28" s="204">
        <f t="shared" si="45"/>
        <v>-0.45978152929493543</v>
      </c>
      <c r="AS28" s="203">
        <f t="shared" si="49"/>
        <v>114223</v>
      </c>
      <c r="AT28" s="204">
        <f t="shared" si="46"/>
        <v>-0.11664578596507513</v>
      </c>
      <c r="AU28" s="205">
        <f>IFERROR(GETPIVOTDATA("dato",'[1]evolucion mensual nacionali'!$A$4,"indicador","TOTAL","mes",4,"año",2009),"-")</f>
        <v>143027</v>
      </c>
      <c r="AV28" s="206">
        <f t="shared" si="47"/>
        <v>-7.1385905909545411E-2</v>
      </c>
    </row>
    <row r="29" spans="2:48" ht="15" hidden="1" customHeight="1" outlineLevel="1">
      <c r="B29" s="51" t="s">
        <v>46</v>
      </c>
      <c r="C29" s="203">
        <f>IFERROR(GETPIVOTDATA("dato",'[1]evolucion mensual nacionali'!$A$4,"indicador","España","mes",3,"año",2009),"-")</f>
        <v>15506</v>
      </c>
      <c r="D29" s="204">
        <f t="shared" si="25"/>
        <v>-0.42847665032619509</v>
      </c>
      <c r="E29" s="203">
        <f>IFERROR(GETPIVOTDATA("dato",'[1]evolucion mensual nacionali'!$A$4,"indicador","HOLANDA","mes",3,"año",2009),"-")</f>
        <v>4978</v>
      </c>
      <c r="F29" s="204">
        <f t="shared" si="26"/>
        <v>-0.24689863842662629</v>
      </c>
      <c r="G29" s="203">
        <f>IFERROR(GETPIVOTDATA("dato",'[1]evolucion mensual nacionali'!$A$4,"indicador","BÉLGICA","mes",3,"año",2009),"-")</f>
        <v>4487</v>
      </c>
      <c r="H29" s="204">
        <f t="shared" si="27"/>
        <v>-0.34198562839125968</v>
      </c>
      <c r="I29" s="203">
        <f>IFERROR(GETPIVOTDATA("dato",'[1]evolucion mensual nacionali'!$A$4,"indicador","ALEMANIA","mes",3,"año",2009),"-")</f>
        <v>18939</v>
      </c>
      <c r="J29" s="204">
        <f t="shared" si="28"/>
        <v>-0.37431035052363804</v>
      </c>
      <c r="K29" s="203">
        <f>IFERROR(GETPIVOTDATA("dato",'[1]evolucion mensual nacionali'!$A$4,"indicador","FRANCIA","mes",3,"año",2009),"-")</f>
        <v>3855</v>
      </c>
      <c r="L29" s="204">
        <f t="shared" si="29"/>
        <v>-0.10825815405968076</v>
      </c>
      <c r="M29" s="203">
        <f>IFERROR(GETPIVOTDATA("dato",'[1]evolucion mensual nacionali'!$A$4,"indicador","REINO UNIDO","mes",3,"año",2009),"-")</f>
        <v>47234</v>
      </c>
      <c r="N29" s="204">
        <f t="shared" si="30"/>
        <v>-0.26603993473700571</v>
      </c>
      <c r="O29" s="203">
        <f>IFERROR(GETPIVOTDATA("dato",'[1]evolucion mensual nacionali'!$A$4,"indicador","IRLANDA","mes",3,"año",2009),"-")</f>
        <v>3595</v>
      </c>
      <c r="P29" s="204">
        <f t="shared" si="31"/>
        <v>0.19953286619953281</v>
      </c>
      <c r="Q29" s="203">
        <f>IFERROR(GETPIVOTDATA("dato",'[1]evolucion mensual nacionali'!$A$4,"indicador","ITALIA","mes",3,"año",2009),"-")</f>
        <v>3281</v>
      </c>
      <c r="R29" s="204">
        <f t="shared" si="32"/>
        <v>7.2572736188296849E-2</v>
      </c>
      <c r="S29" s="203">
        <f t="shared" si="48"/>
        <v>20678</v>
      </c>
      <c r="T29" s="204">
        <f t="shared" si="33"/>
        <v>-8.947600176133863E-2</v>
      </c>
      <c r="U29" s="203">
        <f>IFERROR(GETPIVOTDATA("dato",'[1]evolucion mensual nacionali'!$A$4,"indicador","SUECIA","mes",3,"año",2009),"-")</f>
        <v>6455</v>
      </c>
      <c r="V29" s="204">
        <f t="shared" si="34"/>
        <v>-6.1929091190582319E-4</v>
      </c>
      <c r="W29" s="203">
        <f>IFERROR(GETPIVOTDATA("dato",'[1]evolucion mensual nacionali'!$A$4,"indicador","NORUEGA","mes",3,"año",2009),"-")</f>
        <v>4192</v>
      </c>
      <c r="X29" s="204">
        <f t="shared" si="35"/>
        <v>-4.0389641244951147E-3</v>
      </c>
      <c r="Y29" s="203">
        <f>IFERROR(GETPIVOTDATA("dato",'[1]evolucion mensual nacionali'!$A$4,"indicador","DINAMARCA","mes",3,"año",2009),"-")</f>
        <v>6400</v>
      </c>
      <c r="Z29" s="204">
        <f t="shared" si="36"/>
        <v>-0.21903599755948744</v>
      </c>
      <c r="AA29" s="203">
        <f>IFERROR(GETPIVOTDATA("dato",'[1]evolucion mensual nacionali'!$A$4,"indicador","FINLANDIA","mes",3,"año",2009),"-")</f>
        <v>3631</v>
      </c>
      <c r="AB29" s="204">
        <f t="shared" si="37"/>
        <v>-5.6147647517546195E-2</v>
      </c>
      <c r="AC29" s="203">
        <f>IFERROR(GETPIVOTDATA("dato",'[1]evolucion mensual nacionali'!$A$4,"indicador","SUIZA","mes",3,"año",2009),"-")</f>
        <v>1061</v>
      </c>
      <c r="AD29" s="204">
        <f t="shared" si="38"/>
        <v>0.34987277353689561</v>
      </c>
      <c r="AE29" s="203">
        <f>IFERROR(GETPIVOTDATA("dato",'[1]evolucion mensual nacionali'!$A$4,"indicador","AUSTRIA","mes",3,"año",2009),"-")</f>
        <v>737</v>
      </c>
      <c r="AF29" s="204">
        <f t="shared" si="39"/>
        <v>-0.39540607054963084</v>
      </c>
      <c r="AG29" s="203">
        <f>IFERROR(GETPIVOTDATA("dato",'[1]evolucion mensual nacionali'!$A$4,"indicador","RUSIA","mes",3,"año",2009),"-")</f>
        <v>2810</v>
      </c>
      <c r="AH29" s="204">
        <f t="shared" si="40"/>
        <v>-0.18926716676283906</v>
      </c>
      <c r="AI29" s="203">
        <f>IFERROR(GETPIVOTDATA("dato",'[1]evolucion mensual nacionali'!$A$4,"indicador","PAÍSES DEL ESTE","mes",3,"año",2009),"-")</f>
        <v>4077</v>
      </c>
      <c r="AJ29" s="204">
        <f t="shared" si="41"/>
        <v>0.15758091993185697</v>
      </c>
      <c r="AK29" s="203">
        <f>IFERROR(GETPIVOTDATA("dato",'[1]evolucion mensual nacionali'!$A$4,"indicador","RESTO DE EUROPA","mes",3,"año",2009),"-")</f>
        <v>2775</v>
      </c>
      <c r="AL29" s="204">
        <f t="shared" si="42"/>
        <v>-0.38168449197860965</v>
      </c>
      <c r="AM29" s="203">
        <f>IFERROR(GETPIVOTDATA("dato",'[1]evolucion mensual nacionali'!$A$4,"indicador","USA","mes",3,"año",2009),"-")</f>
        <v>220</v>
      </c>
      <c r="AN29" s="204">
        <f t="shared" si="43"/>
        <v>-0.47242206235011985</v>
      </c>
      <c r="AO29" s="203">
        <f>IFERROR(GETPIVOTDATA("dato",'[1]evolucion mensual nacionali'!$A$4,"indicador","RESTO DE AMÉRICA","mes",3,"año",2009),"-")</f>
        <v>161</v>
      </c>
      <c r="AP29" s="204">
        <f t="shared" si="44"/>
        <v>0.2384615384615385</v>
      </c>
      <c r="AQ29" s="203">
        <f>IFERROR(GETPIVOTDATA("dato",'[1]evolucion mensual nacionali'!$A$4,"indicador","RESTO DEL MUNDO","mes",3,"año",2009),"-")</f>
        <v>677</v>
      </c>
      <c r="AR29" s="204">
        <f t="shared" si="45"/>
        <v>-0.40924956369982546</v>
      </c>
      <c r="AS29" s="203">
        <f t="shared" si="49"/>
        <v>119565</v>
      </c>
      <c r="AT29" s="204">
        <f t="shared" si="46"/>
        <v>-0.23510709076486092</v>
      </c>
      <c r="AU29" s="205">
        <f>IFERROR(GETPIVOTDATA("dato",'[1]evolucion mensual nacionali'!$A$4,"indicador","TOTAL","mes",3,"año",2009),"-")</f>
        <v>135071</v>
      </c>
      <c r="AV29" s="206">
        <f t="shared" si="47"/>
        <v>-0.2637055934411574</v>
      </c>
    </row>
    <row r="30" spans="2:48" ht="15" hidden="1" customHeight="1" outlineLevel="1">
      <c r="B30" s="51" t="s">
        <v>47</v>
      </c>
      <c r="C30" s="203">
        <f>IFERROR(GETPIVOTDATA("dato",'[1]evolucion mensual nacionali'!$A$4,"indicador","España","mes",2,"año",2009),"-")</f>
        <v>15268</v>
      </c>
      <c r="D30" s="204">
        <f t="shared" si="25"/>
        <v>-8.7497011714080752E-2</v>
      </c>
      <c r="E30" s="203">
        <f>IFERROR(GETPIVOTDATA("dato",'[1]evolucion mensual nacionali'!$A$4,"indicador","HOLANDA","mes",2,"año",2009),"-")</f>
        <v>5803</v>
      </c>
      <c r="F30" s="204">
        <f t="shared" si="26"/>
        <v>-0.29515364994534188</v>
      </c>
      <c r="G30" s="203">
        <f>IFERROR(GETPIVOTDATA("dato",'[1]evolucion mensual nacionali'!$A$4,"indicador","BÉLGICA","mes",2,"año",2009),"-")</f>
        <v>4738</v>
      </c>
      <c r="H30" s="204">
        <f t="shared" si="27"/>
        <v>-0.20302775441547516</v>
      </c>
      <c r="I30" s="203">
        <f>IFERROR(GETPIVOTDATA("dato",'[1]evolucion mensual nacionali'!$A$4,"indicador","ALEMANIA","mes",2,"año",2009),"-")</f>
        <v>17740</v>
      </c>
      <c r="J30" s="204">
        <f t="shared" si="28"/>
        <v>-0.216223380754617</v>
      </c>
      <c r="K30" s="203">
        <f>IFERROR(GETPIVOTDATA("dato",'[1]evolucion mensual nacionali'!$A$4,"indicador","FRANCIA","mes",2,"año",2009),"-")</f>
        <v>4571</v>
      </c>
      <c r="L30" s="204">
        <f t="shared" si="29"/>
        <v>-0.18141117478510027</v>
      </c>
      <c r="M30" s="203">
        <f>IFERROR(GETPIVOTDATA("dato",'[1]evolucion mensual nacionali'!$A$4,"indicador","REINO UNIDO","mes",2,"año",2009),"-")</f>
        <v>47411</v>
      </c>
      <c r="N30" s="204">
        <f t="shared" si="30"/>
        <v>-0.31448359624643951</v>
      </c>
      <c r="O30" s="203">
        <f>IFERROR(GETPIVOTDATA("dato",'[1]evolucion mensual nacionali'!$A$4,"indicador","IRLANDA","mes",2,"año",2009),"-")</f>
        <v>3808</v>
      </c>
      <c r="P30" s="204">
        <f t="shared" si="31"/>
        <v>0.61835954101147461</v>
      </c>
      <c r="Q30" s="203">
        <f>IFERROR(GETPIVOTDATA("dato",'[1]evolucion mensual nacionali'!$A$4,"indicador","ITALIA","mes",2,"año",2009),"-")</f>
        <v>4002</v>
      </c>
      <c r="R30" s="204">
        <f t="shared" si="32"/>
        <v>0.11631799163179912</v>
      </c>
      <c r="S30" s="203">
        <f t="shared" si="48"/>
        <v>19106</v>
      </c>
      <c r="T30" s="204">
        <f t="shared" si="33"/>
        <v>1.9403219885678613E-3</v>
      </c>
      <c r="U30" s="203">
        <f>IFERROR(GETPIVOTDATA("dato",'[1]evolucion mensual nacionali'!$A$4,"indicador","SUECIA","mes",2,"año",2009),"-")</f>
        <v>5776</v>
      </c>
      <c r="V30" s="204">
        <f t="shared" si="34"/>
        <v>0.17805425249847029</v>
      </c>
      <c r="W30" s="203">
        <f>IFERROR(GETPIVOTDATA("dato",'[1]evolucion mensual nacionali'!$A$4,"indicador","NORUEGA","mes",2,"año",2009),"-")</f>
        <v>3805</v>
      </c>
      <c r="X30" s="204">
        <f t="shared" si="35"/>
        <v>5.1104972375690672E-2</v>
      </c>
      <c r="Y30" s="203">
        <f>IFERROR(GETPIVOTDATA("dato",'[1]evolucion mensual nacionali'!$A$4,"indicador","DINAMARCA","mes",2,"año",2009),"-")</f>
        <v>6212</v>
      </c>
      <c r="Z30" s="204">
        <f t="shared" si="36"/>
        <v>-7.915801956715085E-2</v>
      </c>
      <c r="AA30" s="203">
        <f>IFERROR(GETPIVOTDATA("dato",'[1]evolucion mensual nacionali'!$A$4,"indicador","FINLANDIA","mes",2,"año",2009),"-")</f>
        <v>3313</v>
      </c>
      <c r="AB30" s="204">
        <f t="shared" si="37"/>
        <v>-0.12815789473684214</v>
      </c>
      <c r="AC30" s="203">
        <f>IFERROR(GETPIVOTDATA("dato",'[1]evolucion mensual nacionali'!$A$4,"indicador","SUIZA","mes",2,"año",2009),"-")</f>
        <v>986</v>
      </c>
      <c r="AD30" s="204">
        <f t="shared" si="38"/>
        <v>0.2592592592592593</v>
      </c>
      <c r="AE30" s="203">
        <f>IFERROR(GETPIVOTDATA("dato",'[1]evolucion mensual nacionali'!$A$4,"indicador","AUSTRIA","mes",2,"año",2009),"-")</f>
        <v>1071</v>
      </c>
      <c r="AF30" s="204">
        <f t="shared" si="39"/>
        <v>-0.23988644428672823</v>
      </c>
      <c r="AG30" s="203">
        <f>IFERROR(GETPIVOTDATA("dato",'[1]evolucion mensual nacionali'!$A$4,"indicador","RUSIA","mes",2,"año",2009),"-")</f>
        <v>1864</v>
      </c>
      <c r="AH30" s="204">
        <f t="shared" si="40"/>
        <v>-0.42646153846153845</v>
      </c>
      <c r="AI30" s="203">
        <f>IFERROR(GETPIVOTDATA("dato",'[1]evolucion mensual nacionali'!$A$4,"indicador","PAÍSES DEL ESTE","mes",2,"año",2009),"-")</f>
        <v>3598</v>
      </c>
      <c r="AJ30" s="204">
        <f t="shared" si="41"/>
        <v>3.5991937805931462E-2</v>
      </c>
      <c r="AK30" s="203">
        <f>IFERROR(GETPIVOTDATA("dato",'[1]evolucion mensual nacionali'!$A$4,"indicador","RESTO DE EUROPA","mes",2,"año",2009),"-")</f>
        <v>2861</v>
      </c>
      <c r="AL30" s="204">
        <f t="shared" si="42"/>
        <v>-0.41814114297335769</v>
      </c>
      <c r="AM30" s="203">
        <f>IFERROR(GETPIVOTDATA("dato",'[1]evolucion mensual nacionali'!$A$4,"indicador","USA","mes",2,"año",2009),"-")</f>
        <v>245</v>
      </c>
      <c r="AN30" s="204">
        <f t="shared" si="43"/>
        <v>6.5217391304347894E-2</v>
      </c>
      <c r="AO30" s="203">
        <f>IFERROR(GETPIVOTDATA("dato",'[1]evolucion mensual nacionali'!$A$4,"indicador","RESTO DE AMÉRICA","mes",2,"año",2009),"-")</f>
        <v>219</v>
      </c>
      <c r="AP30" s="204">
        <f t="shared" si="44"/>
        <v>0.65909090909090917</v>
      </c>
      <c r="AQ30" s="203">
        <f>IFERROR(GETPIVOTDATA("dato",'[1]evolucion mensual nacionali'!$A$4,"indicador","RESTO DEL MUNDO","mes",2,"año",2009),"-")</f>
        <v>501</v>
      </c>
      <c r="AR30" s="204">
        <f t="shared" si="45"/>
        <v>-0.34424083769633507</v>
      </c>
      <c r="AS30" s="203">
        <f t="shared" si="49"/>
        <v>118524</v>
      </c>
      <c r="AT30" s="204">
        <f t="shared" si="46"/>
        <v>-0.21777695648156703</v>
      </c>
      <c r="AU30" s="205">
        <f>IFERROR(GETPIVOTDATA("dato",'[1]evolucion mensual nacionali'!$A$4,"indicador","TOTAL","mes",2,"año",2009),"-")</f>
        <v>133792</v>
      </c>
      <c r="AV30" s="206">
        <f t="shared" si="47"/>
        <v>-0.20482128210919204</v>
      </c>
    </row>
    <row r="31" spans="2:48" ht="15" hidden="1" customHeight="1" outlineLevel="1">
      <c r="B31" s="51" t="s">
        <v>48</v>
      </c>
      <c r="C31" s="203">
        <f>IFERROR(GETPIVOTDATA("dato",'[1]evolucion mensual nacionali'!$A$4,"indicador","España","mes",1,"año",2009),"-")</f>
        <v>17017</v>
      </c>
      <c r="D31" s="204">
        <f t="shared" si="25"/>
        <v>0.18659786625758312</v>
      </c>
      <c r="E31" s="203">
        <f>IFERROR(GETPIVOTDATA("dato",'[1]evolucion mensual nacionali'!$A$4,"indicador","HOLANDA","mes",1,"año",2009),"-")</f>
        <v>4571</v>
      </c>
      <c r="F31" s="204">
        <f t="shared" si="26"/>
        <v>-9.9310344827586161E-2</v>
      </c>
      <c r="G31" s="203">
        <f>IFERROR(GETPIVOTDATA("dato",'[1]evolucion mensual nacionali'!$A$4,"indicador","BÉLGICA","mes",1,"año",2009),"-")</f>
        <v>6210</v>
      </c>
      <c r="H31" s="204">
        <f t="shared" si="27"/>
        <v>0.11170784103114939</v>
      </c>
      <c r="I31" s="203">
        <f>IFERROR(GETPIVOTDATA("dato",'[1]evolucion mensual nacionali'!$A$4,"indicador","ALEMANIA","mes",1,"año",2009),"-")</f>
        <v>19733</v>
      </c>
      <c r="J31" s="204">
        <f t="shared" si="28"/>
        <v>-9.5687640346455272E-2</v>
      </c>
      <c r="K31" s="203">
        <f>IFERROR(GETPIVOTDATA("dato",'[1]evolucion mensual nacionali'!$A$4,"indicador","FRANCIA","mes",1,"año",2009),"-")</f>
        <v>3641</v>
      </c>
      <c r="L31" s="204">
        <f t="shared" si="29"/>
        <v>-0.12074378169524269</v>
      </c>
      <c r="M31" s="203">
        <f>IFERROR(GETPIVOTDATA("dato",'[1]evolucion mensual nacionali'!$A$4,"indicador","REINO UNIDO","mes",1,"año",2009),"-")</f>
        <v>43919</v>
      </c>
      <c r="N31" s="204">
        <f t="shared" si="30"/>
        <v>-0.20013477088948783</v>
      </c>
      <c r="O31" s="203">
        <f>IFERROR(GETPIVOTDATA("dato",'[1]evolucion mensual nacionali'!$A$4,"indicador","IRLANDA","mes",1,"año",2009),"-")</f>
        <v>3886</v>
      </c>
      <c r="P31" s="204">
        <f t="shared" si="31"/>
        <v>0.55564451561249006</v>
      </c>
      <c r="Q31" s="203">
        <f>IFERROR(GETPIVOTDATA("dato",'[1]evolucion mensual nacionali'!$A$4,"indicador","ITALIA","mes",1,"año",2009),"-")</f>
        <v>4907</v>
      </c>
      <c r="R31" s="204">
        <f t="shared" si="32"/>
        <v>4.5599829533347513E-2</v>
      </c>
      <c r="S31" s="203">
        <f t="shared" si="48"/>
        <v>18454</v>
      </c>
      <c r="T31" s="204">
        <f t="shared" si="33"/>
        <v>2.9052584620532063E-2</v>
      </c>
      <c r="U31" s="203">
        <f>IFERROR(GETPIVOTDATA("dato",'[1]evolucion mensual nacionali'!$A$4,"indicador","SUECIA","mes",1,"año",2009),"-")</f>
        <v>6139</v>
      </c>
      <c r="V31" s="204">
        <f t="shared" si="34"/>
        <v>0.18972868217054262</v>
      </c>
      <c r="W31" s="203">
        <f>IFERROR(GETPIVOTDATA("dato",'[1]evolucion mensual nacionali'!$A$4,"indicador","NORUEGA","mes",1,"año",2009),"-")</f>
        <v>3080</v>
      </c>
      <c r="X31" s="204">
        <f t="shared" si="35"/>
        <v>-6.0402684563758413E-2</v>
      </c>
      <c r="Y31" s="203">
        <f>IFERROR(GETPIVOTDATA("dato",'[1]evolucion mensual nacionali'!$A$4,"indicador","DINAMARCA","mes",1,"año",2009),"-")</f>
        <v>6032</v>
      </c>
      <c r="Z31" s="204">
        <f t="shared" si="36"/>
        <v>-3.3023404937480016E-2</v>
      </c>
      <c r="AA31" s="203">
        <f>IFERROR(GETPIVOTDATA("dato",'[1]evolucion mensual nacionali'!$A$4,"indicador","FINLANDIA","mes",1,"año",2009),"-")</f>
        <v>3203</v>
      </c>
      <c r="AB31" s="204">
        <f t="shared" si="37"/>
        <v>-1.6579674547129275E-2</v>
      </c>
      <c r="AC31" s="203">
        <f>IFERROR(GETPIVOTDATA("dato",'[1]evolucion mensual nacionali'!$A$4,"indicador","SUIZA","mes",1,"año",2009),"-")</f>
        <v>848</v>
      </c>
      <c r="AD31" s="204">
        <f t="shared" si="38"/>
        <v>0.41806020066889626</v>
      </c>
      <c r="AE31" s="203">
        <f>IFERROR(GETPIVOTDATA("dato",'[1]evolucion mensual nacionali'!$A$4,"indicador","AUSTRIA","mes",1,"año",2009),"-")</f>
        <v>1385</v>
      </c>
      <c r="AF31" s="204">
        <f t="shared" si="39"/>
        <v>8.2877247849882707E-2</v>
      </c>
      <c r="AG31" s="203">
        <f>IFERROR(GETPIVOTDATA("dato",'[1]evolucion mensual nacionali'!$A$4,"indicador","RUSIA","mes",1,"año",2009),"-")</f>
        <v>3874</v>
      </c>
      <c r="AH31" s="204">
        <f t="shared" si="40"/>
        <v>-0.2048440065681445</v>
      </c>
      <c r="AI31" s="203">
        <f>IFERROR(GETPIVOTDATA("dato",'[1]evolucion mensual nacionali'!$A$4,"indicador","PAÍSES DEL ESTE","mes",1,"año",2009),"-")</f>
        <v>4025</v>
      </c>
      <c r="AJ31" s="204">
        <f t="shared" si="41"/>
        <v>0.17415402567094507</v>
      </c>
      <c r="AK31" s="203">
        <f>IFERROR(GETPIVOTDATA("dato",'[1]evolucion mensual nacionali'!$A$4,"indicador","RESTO DE EUROPA","mes",1,"año",2009),"-")</f>
        <v>2628</v>
      </c>
      <c r="AL31" s="204">
        <f t="shared" si="42"/>
        <v>-0.47815726767275613</v>
      </c>
      <c r="AM31" s="203">
        <f>IFERROR(GETPIVOTDATA("dato",'[1]evolucion mensual nacionali'!$A$4,"indicador","USA","mes",1,"año",2009),"-")</f>
        <v>187</v>
      </c>
      <c r="AN31" s="204">
        <f t="shared" si="43"/>
        <v>-2.604166666666663E-2</v>
      </c>
      <c r="AO31" s="203">
        <f>IFERROR(GETPIVOTDATA("dato",'[1]evolucion mensual nacionali'!$A$4,"indicador","RESTO DE AMÉRICA","mes",1,"año",2009),"-")</f>
        <v>263</v>
      </c>
      <c r="AP31" s="204">
        <f t="shared" si="44"/>
        <v>0.28921568627450989</v>
      </c>
      <c r="AQ31" s="203">
        <f>IFERROR(GETPIVOTDATA("dato",'[1]evolucion mensual nacionali'!$A$4,"indicador","RESTO DEL MUNDO","mes",1,"año",2009),"-")</f>
        <v>796</v>
      </c>
      <c r="AR31" s="204">
        <f t="shared" si="45"/>
        <v>0.51330798479087458</v>
      </c>
      <c r="AS31" s="203">
        <f t="shared" si="49"/>
        <v>119327</v>
      </c>
      <c r="AT31" s="204">
        <f t="shared" si="46"/>
        <v>-0.10138564650952631</v>
      </c>
      <c r="AU31" s="205">
        <f>IFERROR(GETPIVOTDATA("dato",'[1]evolucion mensual nacionali'!$A$4,"indicador","TOTAL","mes",1,"año",2009),"-")</f>
        <v>136344</v>
      </c>
      <c r="AV31" s="206">
        <f t="shared" si="47"/>
        <v>-7.3315616695325936E-2</v>
      </c>
    </row>
    <row r="32" spans="2:48" collapsed="1">
      <c r="B32" s="210">
        <v>2009</v>
      </c>
      <c r="C32" s="211">
        <f>GETPIVOTDATA("dato",'[1]evolucion mensual nacionali'!$A$4,"indicador","España","año",2009)</f>
        <v>366973</v>
      </c>
      <c r="D32" s="212">
        <f t="shared" si="25"/>
        <v>-2.7551209688104539E-2</v>
      </c>
      <c r="E32" s="211">
        <f>GETPIVOTDATA("dato",'[1]evolucion mensual nacionali'!$A$4,"indicador","HOLANDA","año",2009)</f>
        <v>59191</v>
      </c>
      <c r="F32" s="212">
        <f t="shared" si="26"/>
        <v>-0.20579908491996401</v>
      </c>
      <c r="G32" s="211">
        <f>GETPIVOTDATA("dato",'[1]evolucion mensual nacionali'!$A$4,"indicador","BÉLGICA","año",2009)</f>
        <v>60992</v>
      </c>
      <c r="H32" s="212">
        <f t="shared" si="27"/>
        <v>4.5457661981487929E-2</v>
      </c>
      <c r="I32" s="211">
        <f>GETPIVOTDATA("dato",'[1]evolucion mensual nacionali'!$A$4,"indicador","ALEMANIA","año",2009)</f>
        <v>219052</v>
      </c>
      <c r="J32" s="212">
        <f t="shared" si="28"/>
        <v>-0.18651495120248374</v>
      </c>
      <c r="K32" s="211">
        <f>GETPIVOTDATA("dato",'[1]evolucion mensual nacionali'!$A$4,"indicador","FRANCIA","año",2009)</f>
        <v>40507</v>
      </c>
      <c r="L32" s="212">
        <f t="shared" si="29"/>
        <v>-0.12075103103972218</v>
      </c>
      <c r="M32" s="211">
        <f>GETPIVOTDATA("dato",'[1]evolucion mensual nacionali'!$A$4,"indicador","REINO UNIDO","año",2009)</f>
        <v>544895</v>
      </c>
      <c r="N32" s="212">
        <f t="shared" si="30"/>
        <v>-0.18825045436939492</v>
      </c>
      <c r="O32" s="211">
        <f>GETPIVOTDATA("dato",'[1]evolucion mensual nacionali'!$A$4,"indicador","IRLANDA","año",2009)</f>
        <v>32261</v>
      </c>
      <c r="P32" s="212">
        <f t="shared" si="31"/>
        <v>-2.5259086926307517E-2</v>
      </c>
      <c r="Q32" s="211">
        <f>GETPIVOTDATA("dato",'[1]evolucion mensual nacionali'!$A$4,"indicador","ITALIA","año",2009)</f>
        <v>39530</v>
      </c>
      <c r="R32" s="212">
        <f t="shared" si="32"/>
        <v>-3.0533415082771298E-2</v>
      </c>
      <c r="S32" s="211">
        <f t="shared" si="48"/>
        <v>121506</v>
      </c>
      <c r="T32" s="212">
        <f t="shared" si="33"/>
        <v>-3.9668049792531135E-2</v>
      </c>
      <c r="U32" s="211">
        <f>GETPIVOTDATA("dato",'[1]evolucion mensual nacionali'!$A$4,"indicador","SUECIA","año",2009)</f>
        <v>42005</v>
      </c>
      <c r="V32" s="212">
        <f t="shared" si="34"/>
        <v>0.14398932403725695</v>
      </c>
      <c r="W32" s="211">
        <f>GETPIVOTDATA("dato",'[1]evolucion mensual nacionali'!$A$4,"indicador","NORUEGA","año",2009)</f>
        <v>22565</v>
      </c>
      <c r="X32" s="212">
        <f t="shared" si="35"/>
        <v>-9.3301723791537783E-2</v>
      </c>
      <c r="Y32" s="211">
        <f>GETPIVOTDATA("dato",'[1]evolucion mensual nacionali'!$A$4,"indicador","DINAMARCA","año",2009)</f>
        <v>34497</v>
      </c>
      <c r="Z32" s="212">
        <f t="shared" si="36"/>
        <v>-0.22251521298174437</v>
      </c>
      <c r="AA32" s="211">
        <f>GETPIVOTDATA("dato",'[1]evolucion mensual nacionali'!$A$4,"indicador","FINLANDIA","año",2009)</f>
        <v>22439</v>
      </c>
      <c r="AB32" s="212">
        <f t="shared" si="37"/>
        <v>9.1922141119221479E-2</v>
      </c>
      <c r="AC32" s="211">
        <f>GETPIVOTDATA("dato",'[1]evolucion mensual nacionali'!$A$4,"indicador","SUIZA","año",2009)</f>
        <v>13120</v>
      </c>
      <c r="AD32" s="212">
        <f t="shared" si="38"/>
        <v>0.13367320487341217</v>
      </c>
      <c r="AE32" s="211">
        <f>GETPIVOTDATA("dato",'[1]evolucion mensual nacionali'!$A$4,"indicador","AUSTRIA","año",2009)</f>
        <v>10759</v>
      </c>
      <c r="AF32" s="212">
        <f t="shared" si="39"/>
        <v>-0.16050249687890139</v>
      </c>
      <c r="AG32" s="211">
        <f>GETPIVOTDATA("dato",'[1]evolucion mensual nacionali'!$A$4,"indicador","RUSIA","año",2009)</f>
        <v>39786</v>
      </c>
      <c r="AH32" s="212">
        <f t="shared" si="40"/>
        <v>-0.32198364008179958</v>
      </c>
      <c r="AI32" s="211">
        <f>GETPIVOTDATA("dato",'[1]evolucion mensual nacionali'!$A$4,"indicador","PAÍSES DEL ESTE","año",2009)</f>
        <v>48190</v>
      </c>
      <c r="AJ32" s="212">
        <f t="shared" si="41"/>
        <v>7.463818210200035E-2</v>
      </c>
      <c r="AK32" s="211">
        <f>GETPIVOTDATA("dato",'[1]evolucion mensual nacionali'!$A$4,"indicador","RESTO DE EUROPA","año",2009)</f>
        <v>39803</v>
      </c>
      <c r="AL32" s="212">
        <f t="shared" si="42"/>
        <v>-0.23807427258805514</v>
      </c>
      <c r="AM32" s="211">
        <f>GETPIVOTDATA("dato",'[1]evolucion mensual nacionali'!$A$4,"indicador","USA","año",2009)</f>
        <v>2954</v>
      </c>
      <c r="AN32" s="212">
        <f t="shared" si="43"/>
        <v>-0.13977868375072799</v>
      </c>
      <c r="AO32" s="211">
        <f>GETPIVOTDATA("dato",'[1]evolucion mensual nacionali'!$A$4,"indicador","RESTO DE AMÉRICA","año",2009)</f>
        <v>3096</v>
      </c>
      <c r="AP32" s="212">
        <f t="shared" si="44"/>
        <v>0.35789473684210527</v>
      </c>
      <c r="AQ32" s="211">
        <f>GETPIVOTDATA("dato",'[1]evolucion mensual nacionali'!$A$4,"indicador","RESTO DEL MUNDO","año",2009)</f>
        <v>6416</v>
      </c>
      <c r="AR32" s="212">
        <f t="shared" si="45"/>
        <v>-0.1658866354654186</v>
      </c>
      <c r="AS32" s="211">
        <f t="shared" si="49"/>
        <v>1282058</v>
      </c>
      <c r="AT32" s="212">
        <f t="shared" si="46"/>
        <v>-0.15287922137132215</v>
      </c>
      <c r="AU32" s="213">
        <f>GETPIVOTDATA("dato",'[1]evolucion mensual nacionali'!$A$4,"indicador","TOTAL","año",2009)</f>
        <v>1649031</v>
      </c>
      <c r="AV32" s="214">
        <f t="shared" si="47"/>
        <v>-0.12786598265284532</v>
      </c>
    </row>
    <row r="33" spans="2:48" ht="15" hidden="1" customHeight="1" outlineLevel="1">
      <c r="B33" s="51" t="s">
        <v>37</v>
      </c>
      <c r="C33" s="203">
        <f>IFERROR(GETPIVOTDATA("dato",'[1]evolucion mensual nacionali'!$A$4,"indicador","España","mes",12,"año",2008),"-")</f>
        <v>21973</v>
      </c>
      <c r="D33" s="204">
        <f t="shared" si="25"/>
        <v>0.64198176655208483</v>
      </c>
      <c r="E33" s="203">
        <f>IFERROR(GETPIVOTDATA("dato",'[1]evolucion mensual nacionali'!$A$4,"indicador","HOLANDA","mes",12,"año",2008),"-")</f>
        <v>5219</v>
      </c>
      <c r="F33" s="204">
        <f t="shared" si="26"/>
        <v>8.120986119743101E-2</v>
      </c>
      <c r="G33" s="203">
        <f>IFERROR(GETPIVOTDATA("dato",'[1]evolucion mensual nacionali'!$A$4,"indicador","BÉLGICA","mes",12,"año",2008),"-")</f>
        <v>5761</v>
      </c>
      <c r="H33" s="204">
        <f t="shared" si="27"/>
        <v>-6.6439799060119875E-2</v>
      </c>
      <c r="I33" s="203">
        <f>IFERROR(GETPIVOTDATA("dato",'[1]evolucion mensual nacionali'!$A$4,"indicador","ALEMANIA","mes",12,"año",2008),"-")</f>
        <v>18875</v>
      </c>
      <c r="J33" s="204">
        <f t="shared" si="28"/>
        <v>-8.8428474838211146E-2</v>
      </c>
      <c r="K33" s="203">
        <f>IFERROR(GETPIVOTDATA("dato",'[1]evolucion mensual nacionali'!$A$4,"indicador","FRANCIA","mes",12,"año",2008),"-")</f>
        <v>2705</v>
      </c>
      <c r="L33" s="204">
        <f t="shared" si="29"/>
        <v>-0.21297643293569979</v>
      </c>
      <c r="M33" s="203">
        <f>IFERROR(GETPIVOTDATA("dato",'[1]evolucion mensual nacionali'!$A$4,"indicador","REINO UNIDO","mes",12,"año",2008),"-")</f>
        <v>52449</v>
      </c>
      <c r="N33" s="204">
        <f t="shared" si="30"/>
        <v>-0.15159897122337074</v>
      </c>
      <c r="O33" s="203">
        <f>IFERROR(GETPIVOTDATA("dato",'[1]evolucion mensual nacionali'!$A$4,"indicador","IRLANDA","mes",12,"año",2008),"-")</f>
        <v>2167</v>
      </c>
      <c r="P33" s="204">
        <f t="shared" si="31"/>
        <v>7.4900793650793718E-2</v>
      </c>
      <c r="Q33" s="203">
        <f>IFERROR(GETPIVOTDATA("dato",'[1]evolucion mensual nacionali'!$A$4,"indicador","ITALIA","mes",12,"año",2008),"-")</f>
        <v>3461</v>
      </c>
      <c r="R33" s="204">
        <f t="shared" si="32"/>
        <v>-5.1520964647848722E-2</v>
      </c>
      <c r="S33" s="203">
        <f>U33+W33+Y33+AA33</f>
        <v>16949</v>
      </c>
      <c r="T33" s="204">
        <f t="shared" si="33"/>
        <v>-0.13591639051746107</v>
      </c>
      <c r="U33" s="203">
        <f>IFERROR(GETPIVOTDATA("dato",'[1]evolucion mensual nacionali'!$A$4,"indicador","SUECIA","mes",12,"año",2008),"-")</f>
        <v>5358</v>
      </c>
      <c r="V33" s="204">
        <f t="shared" si="34"/>
        <v>-4.5260156806842478E-2</v>
      </c>
      <c r="W33" s="203">
        <f>IFERROR(GETPIVOTDATA("dato",'[1]evolucion mensual nacionali'!$A$4,"indicador","NORUEGA","mes",12,"año",2008),"-")</f>
        <v>2871</v>
      </c>
      <c r="X33" s="204">
        <f t="shared" si="35"/>
        <v>-0.15334709525213797</v>
      </c>
      <c r="Y33" s="203">
        <f>IFERROR(GETPIVOTDATA("dato",'[1]evolucion mensual nacionali'!$A$4,"indicador","DINAMARCA","mes",12,"año",2008),"-")</f>
        <v>5183</v>
      </c>
      <c r="Z33" s="204">
        <f t="shared" si="36"/>
        <v>-0.22883499479244163</v>
      </c>
      <c r="AA33" s="203">
        <f>IFERROR(GETPIVOTDATA("dato",'[1]evolucion mensual nacionali'!$A$4,"indicador","FINLANDIA","mes",12,"año",2008),"-")</f>
        <v>3537</v>
      </c>
      <c r="AB33" s="204">
        <f t="shared" si="37"/>
        <v>-9.0979182729375441E-2</v>
      </c>
      <c r="AC33" s="203">
        <f>IFERROR(GETPIVOTDATA("dato",'[1]evolucion mensual nacionali'!$A$4,"indicador","SUIZA","mes",12,"año",2008),"-")</f>
        <v>846</v>
      </c>
      <c r="AD33" s="204">
        <f t="shared" si="38"/>
        <v>6.8181818181818121E-2</v>
      </c>
      <c r="AE33" s="203">
        <f>IFERROR(GETPIVOTDATA("dato",'[1]evolucion mensual nacionali'!$A$4,"indicador","AUSTRIA","mes",12,"año",2008),"-")</f>
        <v>921</v>
      </c>
      <c r="AF33" s="204">
        <f t="shared" si="39"/>
        <v>-6.2118126272912466E-2</v>
      </c>
      <c r="AG33" s="203">
        <f>IFERROR(GETPIVOTDATA("dato",'[1]evolucion mensual nacionali'!$A$4,"indicador","RUSIA","mes",12,"año",2008),"-")</f>
        <v>3355</v>
      </c>
      <c r="AH33" s="204">
        <f t="shared" si="40"/>
        <v>-9.7402597402597157E-3</v>
      </c>
      <c r="AI33" s="203">
        <f>IFERROR(GETPIVOTDATA("dato",'[1]evolucion mensual nacionali'!$A$4,"indicador","PAÍSES DEL ESTE","mes",12,"año",2008),"-")</f>
        <v>3012</v>
      </c>
      <c r="AJ33" s="204">
        <f t="shared" si="41"/>
        <v>-9.7933513027852692E-2</v>
      </c>
      <c r="AK33" s="203">
        <f>IFERROR(GETPIVOTDATA("dato",'[1]evolucion mensual nacionali'!$A$4,"indicador","RESTO DE EUROPA","mes",12,"año",2008),"-")</f>
        <v>3114</v>
      </c>
      <c r="AL33" s="204">
        <f t="shared" si="42"/>
        <v>-0.23601570166830221</v>
      </c>
      <c r="AM33" s="203">
        <f>IFERROR(GETPIVOTDATA("dato",'[1]evolucion mensual nacionali'!$A$4,"indicador","USA","mes",12,"año",2008),"-")</f>
        <v>327</v>
      </c>
      <c r="AN33" s="204">
        <f t="shared" si="43"/>
        <v>0.4598214285714286</v>
      </c>
      <c r="AO33" s="203">
        <f>IFERROR(GETPIVOTDATA("dato",'[1]evolucion mensual nacionali'!$A$4,"indicador","RESTO DE AMÉRICA","mes",12,"año",2008),"-")</f>
        <v>190</v>
      </c>
      <c r="AP33" s="204">
        <f t="shared" si="44"/>
        <v>-0.15555555555555556</v>
      </c>
      <c r="AQ33" s="203">
        <f>IFERROR(GETPIVOTDATA("dato",'[1]evolucion mensual nacionali'!$A$4,"indicador","RESTO DEL MUNDO","mes",12,"año",2008),"-")</f>
        <v>508</v>
      </c>
      <c r="AR33" s="204">
        <f t="shared" si="45"/>
        <v>-0.46186440677966101</v>
      </c>
      <c r="AS33" s="203">
        <f>AU33-C33</f>
        <v>119859</v>
      </c>
      <c r="AT33" s="204">
        <f t="shared" si="46"/>
        <v>-0.12005550171791035</v>
      </c>
      <c r="AU33" s="205">
        <f>IFERROR(GETPIVOTDATA("dato",'[1]evolucion mensual nacionali'!$A$4,"indicador","TOTAL","mes",12,"año",2008),"-")</f>
        <v>141832</v>
      </c>
      <c r="AV33" s="206">
        <f t="shared" si="47"/>
        <v>-5.1887107771702023E-2</v>
      </c>
    </row>
    <row r="34" spans="2:48" ht="15" hidden="1" customHeight="1" outlineLevel="1">
      <c r="B34" s="51" t="s">
        <v>38</v>
      </c>
      <c r="C34" s="203">
        <f>IFERROR(GETPIVOTDATA("dato",'[1]evolucion mensual nacionali'!$A$4,"indicador","España","mes",11,"año",2008),"-")</f>
        <v>23122</v>
      </c>
      <c r="D34" s="204">
        <f t="shared" si="25"/>
        <v>0.43847206669155159</v>
      </c>
      <c r="E34" s="203">
        <f>IFERROR(GETPIVOTDATA("dato",'[1]evolucion mensual nacionali'!$A$4,"indicador","HOLANDA","mes",11,"año",2008),"-")</f>
        <v>4990</v>
      </c>
      <c r="F34" s="204">
        <f t="shared" si="26"/>
        <v>-7.7974870657797513E-2</v>
      </c>
      <c r="G34" s="203">
        <f>IFERROR(GETPIVOTDATA("dato",'[1]evolucion mensual nacionali'!$A$4,"indicador","BÉLGICA","mes",11,"año",2008),"-")</f>
        <v>5044</v>
      </c>
      <c r="H34" s="204">
        <f t="shared" si="27"/>
        <v>-3.5379613692866685E-2</v>
      </c>
      <c r="I34" s="203">
        <f>IFERROR(GETPIVOTDATA("dato",'[1]evolucion mensual nacionali'!$A$4,"indicador","ALEMANIA","mes",11,"año",2008),"-")</f>
        <v>24718</v>
      </c>
      <c r="J34" s="204">
        <f t="shared" si="28"/>
        <v>-7.8168121130752555E-2</v>
      </c>
      <c r="K34" s="203">
        <f>IFERROR(GETPIVOTDATA("dato",'[1]evolucion mensual nacionali'!$A$4,"indicador","FRANCIA","mes",11,"año",2008),"-")</f>
        <v>2977</v>
      </c>
      <c r="L34" s="204">
        <f t="shared" si="29"/>
        <v>0.13625954198473278</v>
      </c>
      <c r="M34" s="203">
        <f>IFERROR(GETPIVOTDATA("dato",'[1]evolucion mensual nacionali'!$A$4,"indicador","REINO UNIDO","mes",11,"año",2008),"-")</f>
        <v>48774</v>
      </c>
      <c r="N34" s="204">
        <f t="shared" si="30"/>
        <v>-0.27691874342134526</v>
      </c>
      <c r="O34" s="203">
        <f>IFERROR(GETPIVOTDATA("dato",'[1]evolucion mensual nacionali'!$A$4,"indicador","IRLANDA","mes",11,"año",2008),"-")</f>
        <v>2576</v>
      </c>
      <c r="P34" s="204">
        <f t="shared" si="31"/>
        <v>0.5688185140073081</v>
      </c>
      <c r="Q34" s="203">
        <f>IFERROR(GETPIVOTDATA("dato",'[1]evolucion mensual nacionali'!$A$4,"indicador","ITALIA","mes",11,"año",2008),"-")</f>
        <v>2578</v>
      </c>
      <c r="R34" s="204">
        <f t="shared" si="32"/>
        <v>-5.2554208011760362E-2</v>
      </c>
      <c r="S34" s="203">
        <f t="shared" ref="S34:S45" si="50">U34+W34+Y34+AA34</f>
        <v>20531</v>
      </c>
      <c r="T34" s="204">
        <f t="shared" si="33"/>
        <v>-3.7458977965307061E-2</v>
      </c>
      <c r="U34" s="203">
        <f>IFERROR(GETPIVOTDATA("dato",'[1]evolucion mensual nacionali'!$A$4,"indicador","SUECIA","mes",11,"año",2008),"-")</f>
        <v>6325</v>
      </c>
      <c r="V34" s="204">
        <f t="shared" si="34"/>
        <v>-7.3802899399619259E-2</v>
      </c>
      <c r="W34" s="203">
        <f>IFERROR(GETPIVOTDATA("dato",'[1]evolucion mensual nacionali'!$A$4,"indicador","NORUEGA","mes",11,"año",2008),"-")</f>
        <v>4905</v>
      </c>
      <c r="X34" s="204">
        <f t="shared" si="35"/>
        <v>4.5396419437340185E-2</v>
      </c>
      <c r="Y34" s="203">
        <f>IFERROR(GETPIVOTDATA("dato",'[1]evolucion mensual nacionali'!$A$4,"indicador","DINAMARCA","mes",11,"año",2008),"-")</f>
        <v>6719</v>
      </c>
      <c r="Z34" s="204">
        <f t="shared" si="36"/>
        <v>0.2437985931136617</v>
      </c>
      <c r="AA34" s="203">
        <f>IFERROR(GETPIVOTDATA("dato",'[1]evolucion mensual nacionali'!$A$4,"indicador","FINLANDIA","mes",11,"año",2008),"-")</f>
        <v>2582</v>
      </c>
      <c r="AB34" s="204">
        <f t="shared" si="37"/>
        <v>-0.41411390968913098</v>
      </c>
      <c r="AC34" s="203">
        <f>IFERROR(GETPIVOTDATA("dato",'[1]evolucion mensual nacionali'!$A$4,"indicador","SUIZA","mes",11,"año",2008),"-")</f>
        <v>1216</v>
      </c>
      <c r="AD34" s="204">
        <f t="shared" si="38"/>
        <v>0.2184368737474951</v>
      </c>
      <c r="AE34" s="203">
        <f>IFERROR(GETPIVOTDATA("dato",'[1]evolucion mensual nacionali'!$A$4,"indicador","AUSTRIA","mes",11,"año",2008),"-")</f>
        <v>1216</v>
      </c>
      <c r="AF34" s="204">
        <f t="shared" si="39"/>
        <v>-0.29507246376811591</v>
      </c>
      <c r="AG34" s="203">
        <f>IFERROR(GETPIVOTDATA("dato",'[1]evolucion mensual nacionali'!$A$4,"indicador","RUSIA","mes",11,"año",2008),"-")</f>
        <v>3958</v>
      </c>
      <c r="AH34" s="204">
        <f t="shared" si="40"/>
        <v>-0.19273913930246789</v>
      </c>
      <c r="AI34" s="203">
        <f>IFERROR(GETPIVOTDATA("dato",'[1]evolucion mensual nacionali'!$A$4,"indicador","PAÍSES DEL ESTE","mes",11,"año",2008),"-")</f>
        <v>3224</v>
      </c>
      <c r="AJ34" s="204">
        <f t="shared" si="41"/>
        <v>-0.14934036939313988</v>
      </c>
      <c r="AK34" s="203">
        <f>IFERROR(GETPIVOTDATA("dato",'[1]evolucion mensual nacionali'!$A$4,"indicador","RESTO DE EUROPA","mes",11,"año",2008),"-")</f>
        <v>3384</v>
      </c>
      <c r="AL34" s="204">
        <f t="shared" si="42"/>
        <v>-0.18634287088242363</v>
      </c>
      <c r="AM34" s="203">
        <f>IFERROR(GETPIVOTDATA("dato",'[1]evolucion mensual nacionali'!$A$4,"indicador","USA","mes",11,"año",2008),"-")</f>
        <v>321</v>
      </c>
      <c r="AN34" s="204">
        <f t="shared" si="43"/>
        <v>0.63775510204081631</v>
      </c>
      <c r="AO34" s="203">
        <f>IFERROR(GETPIVOTDATA("dato",'[1]evolucion mensual nacionali'!$A$4,"indicador","RESTO DE AMÉRICA","mes",11,"año",2008),"-")</f>
        <v>157</v>
      </c>
      <c r="AP34" s="204">
        <f t="shared" si="44"/>
        <v>6.8027210884353817E-2</v>
      </c>
      <c r="AQ34" s="203">
        <f>IFERROR(GETPIVOTDATA("dato",'[1]evolucion mensual nacionali'!$A$4,"indicador","RESTO DEL MUNDO","mes",11,"año",2008),"-")</f>
        <v>306</v>
      </c>
      <c r="AR34" s="204">
        <f t="shared" si="45"/>
        <v>-0.45648312611012432</v>
      </c>
      <c r="AS34" s="203">
        <f t="shared" ref="AS34:AS45" si="51">AU34-C34</f>
        <v>125970</v>
      </c>
      <c r="AT34" s="204">
        <f t="shared" si="46"/>
        <v>-0.15852827617533505</v>
      </c>
      <c r="AU34" s="205">
        <f>IFERROR(GETPIVOTDATA("dato",'[1]evolucion mensual nacionali'!$A$4,"indicador","TOTAL","mes",11,"año",2008),"-")</f>
        <v>149092</v>
      </c>
      <c r="AV34" s="206">
        <f t="shared" si="47"/>
        <v>-0.10064182993919502</v>
      </c>
    </row>
    <row r="35" spans="2:48" ht="15" hidden="1" customHeight="1" outlineLevel="1">
      <c r="B35" s="51" t="s">
        <v>39</v>
      </c>
      <c r="C35" s="203">
        <f>IFERROR(GETPIVOTDATA("dato",'[1]evolucion mensual nacionali'!$A$4,"indicador","España","mes",10,"año",2008),"-")</f>
        <v>24705</v>
      </c>
      <c r="D35" s="204">
        <f t="shared" si="25"/>
        <v>-0.17671954145561186</v>
      </c>
      <c r="E35" s="203">
        <f>IFERROR(GETPIVOTDATA("dato",'[1]evolucion mensual nacionali'!$A$4,"indicador","HOLANDA","mes",10,"año",2008),"-")</f>
        <v>8065</v>
      </c>
      <c r="F35" s="204">
        <f t="shared" si="26"/>
        <v>4.1451446280991844E-2</v>
      </c>
      <c r="G35" s="203">
        <f>IFERROR(GETPIVOTDATA("dato",'[1]evolucion mensual nacionali'!$A$4,"indicador","BÉLGICA","mes",10,"año",2008),"-")</f>
        <v>4939</v>
      </c>
      <c r="H35" s="204">
        <f t="shared" si="27"/>
        <v>-9.723999268872241E-2</v>
      </c>
      <c r="I35" s="203">
        <f>IFERROR(GETPIVOTDATA("dato",'[1]evolucion mensual nacionali'!$A$4,"indicador","ALEMANIA","mes",10,"año",2008),"-")</f>
        <v>21705</v>
      </c>
      <c r="J35" s="204">
        <f t="shared" si="28"/>
        <v>-3.691706970759201E-2</v>
      </c>
      <c r="K35" s="203">
        <f>IFERROR(GETPIVOTDATA("dato",'[1]evolucion mensual nacionali'!$A$4,"indicador","FRANCIA","mes",10,"año",2008),"-")</f>
        <v>3686</v>
      </c>
      <c r="L35" s="204">
        <f t="shared" si="29"/>
        <v>0.19056847545219635</v>
      </c>
      <c r="M35" s="203">
        <f>IFERROR(GETPIVOTDATA("dato",'[1]evolucion mensual nacionali'!$A$4,"indicador","REINO UNIDO","mes",10,"año",2008),"-")</f>
        <v>60542</v>
      </c>
      <c r="N35" s="204">
        <f t="shared" si="30"/>
        <v>-8.5854925409192484E-2</v>
      </c>
      <c r="O35" s="203">
        <f>IFERROR(GETPIVOTDATA("dato",'[1]evolucion mensual nacionali'!$A$4,"indicador","IRLANDA","mes",10,"año",2008),"-")</f>
        <v>3439</v>
      </c>
      <c r="P35" s="204">
        <f t="shared" si="31"/>
        <v>1.0531343283582091</v>
      </c>
      <c r="Q35" s="203">
        <f>IFERROR(GETPIVOTDATA("dato",'[1]evolucion mensual nacionali'!$A$4,"indicador","ITALIA","mes",10,"año",2008),"-")</f>
        <v>2256</v>
      </c>
      <c r="R35" s="204">
        <f t="shared" si="32"/>
        <v>-0.18290474465773265</v>
      </c>
      <c r="S35" s="203">
        <f t="shared" si="50"/>
        <v>11858</v>
      </c>
      <c r="T35" s="204">
        <f t="shared" si="33"/>
        <v>-0.18226329218674575</v>
      </c>
      <c r="U35" s="203">
        <f>IFERROR(GETPIVOTDATA("dato",'[1]evolucion mensual nacionali'!$A$4,"indicador","SUECIA","mes",10,"año",2008),"-")</f>
        <v>3707</v>
      </c>
      <c r="V35" s="204">
        <f t="shared" si="34"/>
        <v>-0.28889315173604446</v>
      </c>
      <c r="W35" s="203">
        <f>IFERROR(GETPIVOTDATA("dato",'[1]evolucion mensual nacionali'!$A$4,"indicador","NORUEGA","mes",10,"año",2008),"-")</f>
        <v>2685</v>
      </c>
      <c r="X35" s="204">
        <f t="shared" si="35"/>
        <v>-3.4867002156721782E-2</v>
      </c>
      <c r="Y35" s="203">
        <f>IFERROR(GETPIVOTDATA("dato",'[1]evolucion mensual nacionali'!$A$4,"indicador","DINAMARCA","mes",10,"año",2008),"-")</f>
        <v>3414</v>
      </c>
      <c r="Z35" s="204">
        <f t="shared" si="36"/>
        <v>-2.2336769759450203E-2</v>
      </c>
      <c r="AA35" s="203">
        <f>IFERROR(GETPIVOTDATA("dato",'[1]evolucion mensual nacionali'!$A$4,"indicador","FINLANDIA","mes",10,"año",2008),"-")</f>
        <v>2052</v>
      </c>
      <c r="AB35" s="204">
        <f t="shared" si="37"/>
        <v>-0.31917717319177175</v>
      </c>
      <c r="AC35" s="203">
        <f>IFERROR(GETPIVOTDATA("dato",'[1]evolucion mensual nacionali'!$A$4,"indicador","SUIZA","mes",10,"año",2008),"-")</f>
        <v>1210</v>
      </c>
      <c r="AD35" s="204">
        <f t="shared" si="38"/>
        <v>-0.15087719298245617</v>
      </c>
      <c r="AE35" s="203">
        <f>IFERROR(GETPIVOTDATA("dato",'[1]evolucion mensual nacionali'!$A$4,"indicador","AUSTRIA","mes",10,"año",2008),"-")</f>
        <v>777</v>
      </c>
      <c r="AF35" s="204">
        <f t="shared" si="39"/>
        <v>-0.3589108910891089</v>
      </c>
      <c r="AG35" s="203">
        <f>IFERROR(GETPIVOTDATA("dato",'[1]evolucion mensual nacionali'!$A$4,"indicador","RUSIA","mes",10,"año",2008),"-")</f>
        <v>9828</v>
      </c>
      <c r="AH35" s="204">
        <f t="shared" si="40"/>
        <v>0.98907103825136611</v>
      </c>
      <c r="AI35" s="203">
        <f>IFERROR(GETPIVOTDATA("dato",'[1]evolucion mensual nacionali'!$A$4,"indicador","PAÍSES DEL ESTE","mes",10,"año",2008),"-")</f>
        <v>2997</v>
      </c>
      <c r="AJ35" s="204">
        <f t="shared" si="41"/>
        <v>-0.22538123546135957</v>
      </c>
      <c r="AK35" s="203">
        <f>IFERROR(GETPIVOTDATA("dato",'[1]evolucion mensual nacionali'!$A$4,"indicador","RESTO DE EUROPA","mes",10,"año",2008),"-")</f>
        <v>3381</v>
      </c>
      <c r="AL35" s="204">
        <f t="shared" si="42"/>
        <v>-0.18274111675126903</v>
      </c>
      <c r="AM35" s="203">
        <f>IFERROR(GETPIVOTDATA("dato",'[1]evolucion mensual nacionali'!$A$4,"indicador","USA","mes",10,"año",2008),"-")</f>
        <v>360</v>
      </c>
      <c r="AN35" s="204">
        <f t="shared" si="43"/>
        <v>0.6901408450704225</v>
      </c>
      <c r="AO35" s="203">
        <f>IFERROR(GETPIVOTDATA("dato",'[1]evolucion mensual nacionali'!$A$4,"indicador","RESTO DE AMÉRICA","mes",10,"año",2008),"-")</f>
        <v>223</v>
      </c>
      <c r="AP35" s="204">
        <f t="shared" si="44"/>
        <v>0.27428571428571424</v>
      </c>
      <c r="AQ35" s="203">
        <f>IFERROR(GETPIVOTDATA("dato",'[1]evolucion mensual nacionali'!$A$4,"indicador","RESTO DEL MUNDO","mes",10,"año",2008),"-")</f>
        <v>472</v>
      </c>
      <c r="AR35" s="204">
        <f t="shared" si="45"/>
        <v>-0.4473067915690867</v>
      </c>
      <c r="AS35" s="203">
        <f t="shared" si="51"/>
        <v>135738</v>
      </c>
      <c r="AT35" s="204">
        <f t="shared" si="46"/>
        <v>-3.6218661024290166E-2</v>
      </c>
      <c r="AU35" s="205">
        <f>IFERROR(GETPIVOTDATA("dato",'[1]evolucion mensual nacionali'!$A$4,"indicador","TOTAL","mes",10,"año",2008),"-")</f>
        <v>160443</v>
      </c>
      <c r="AV35" s="206">
        <f t="shared" si="47"/>
        <v>-6.0896591687299217E-2</v>
      </c>
    </row>
    <row r="36" spans="2:48" ht="15" hidden="1" customHeight="1" outlineLevel="1">
      <c r="B36" s="51" t="s">
        <v>40</v>
      </c>
      <c r="C36" s="203">
        <f>IFERROR(GETPIVOTDATA("dato",'[1]evolucion mensual nacionali'!$A$4,"indicador","España","mes",9,"año",2008),"-")</f>
        <v>37318</v>
      </c>
      <c r="D36" s="204">
        <f t="shared" si="25"/>
        <v>-2.4799435544986537E-2</v>
      </c>
      <c r="E36" s="203">
        <f>IFERROR(GETPIVOTDATA("dato",'[1]evolucion mensual nacionali'!$A$4,"indicador","HOLANDA","mes",9,"año",2008),"-")</f>
        <v>4799</v>
      </c>
      <c r="F36" s="204">
        <f t="shared" si="26"/>
        <v>5.7980599647266207E-2</v>
      </c>
      <c r="G36" s="203">
        <f>IFERROR(GETPIVOTDATA("dato",'[1]evolucion mensual nacionali'!$A$4,"indicador","BÉLGICA","mes",9,"año",2008),"-")</f>
        <v>3614</v>
      </c>
      <c r="H36" s="204">
        <f t="shared" si="27"/>
        <v>-5.3678973553286213E-2</v>
      </c>
      <c r="I36" s="203">
        <f>IFERROR(GETPIVOTDATA("dato",'[1]evolucion mensual nacionali'!$A$4,"indicador","ALEMANIA","mes",9,"año",2008),"-")</f>
        <v>19180</v>
      </c>
      <c r="J36" s="204">
        <f t="shared" si="28"/>
        <v>-9.4428706326723288E-2</v>
      </c>
      <c r="K36" s="203">
        <f>IFERROR(GETPIVOTDATA("dato",'[1]evolucion mensual nacionali'!$A$4,"indicador","FRANCIA","mes",9,"año",2008),"-")</f>
        <v>2442</v>
      </c>
      <c r="L36" s="204">
        <f t="shared" si="29"/>
        <v>-9.2193308550185926E-2</v>
      </c>
      <c r="M36" s="203">
        <f>IFERROR(GETPIVOTDATA("dato",'[1]evolucion mensual nacionali'!$A$4,"indicador","REINO UNIDO","mes",9,"año",2008),"-")</f>
        <v>46504</v>
      </c>
      <c r="N36" s="204">
        <f t="shared" si="30"/>
        <v>-3.6086641102704986E-2</v>
      </c>
      <c r="O36" s="203">
        <f>IFERROR(GETPIVOTDATA("dato",'[1]evolucion mensual nacionali'!$A$4,"indicador","IRLANDA","mes",9,"año",2008),"-")</f>
        <v>3273</v>
      </c>
      <c r="P36" s="204">
        <f t="shared" si="31"/>
        <v>0.98966565349544067</v>
      </c>
      <c r="Q36" s="203">
        <f>IFERROR(GETPIVOTDATA("dato",'[1]evolucion mensual nacionali'!$A$4,"indicador","ITALIA","mes",9,"año",2008),"-")</f>
        <v>2382</v>
      </c>
      <c r="R36" s="204">
        <f t="shared" si="32"/>
        <v>-0.35166031573217205</v>
      </c>
      <c r="S36" s="203">
        <f t="shared" si="50"/>
        <v>2465</v>
      </c>
      <c r="T36" s="204">
        <f t="shared" si="33"/>
        <v>0.36263128800442224</v>
      </c>
      <c r="U36" s="203">
        <f>IFERROR(GETPIVOTDATA("dato",'[1]evolucion mensual nacionali'!$A$4,"indicador","SUECIA","mes",9,"año",2008),"-")</f>
        <v>657</v>
      </c>
      <c r="V36" s="204">
        <f t="shared" si="34"/>
        <v>1.4243542435424352</v>
      </c>
      <c r="W36" s="203">
        <f>IFERROR(GETPIVOTDATA("dato",'[1]evolucion mensual nacionali'!$A$4,"indicador","NORUEGA","mes",9,"año",2008),"-")</f>
        <v>667</v>
      </c>
      <c r="X36" s="204">
        <f t="shared" si="35"/>
        <v>0.88418079096045199</v>
      </c>
      <c r="Y36" s="203">
        <f>IFERROR(GETPIVOTDATA("dato",'[1]evolucion mensual nacionali'!$A$4,"indicador","DINAMARCA","mes",9,"año",2008),"-")</f>
        <v>1112</v>
      </c>
      <c r="Z36" s="204">
        <f t="shared" si="36"/>
        <v>-3.2201914708442136E-2</v>
      </c>
      <c r="AA36" s="203">
        <f>IFERROR(GETPIVOTDATA("dato",'[1]evolucion mensual nacionali'!$A$4,"indicador","FINLANDIA","mes",9,"año",2008),"-")</f>
        <v>29</v>
      </c>
      <c r="AB36" s="204">
        <f t="shared" si="37"/>
        <v>-0.17142857142857137</v>
      </c>
      <c r="AC36" s="203">
        <f>IFERROR(GETPIVOTDATA("dato",'[1]evolucion mensual nacionali'!$A$4,"indicador","SUIZA","mes",9,"año",2008),"-")</f>
        <v>1034</v>
      </c>
      <c r="AD36" s="204">
        <f t="shared" si="38"/>
        <v>0.10117145899893498</v>
      </c>
      <c r="AE36" s="203">
        <f>IFERROR(GETPIVOTDATA("dato",'[1]evolucion mensual nacionali'!$A$4,"indicador","AUSTRIA","mes",9,"año",2008),"-")</f>
        <v>712</v>
      </c>
      <c r="AF36" s="204">
        <f t="shared" si="39"/>
        <v>-0.3473877176901925</v>
      </c>
      <c r="AG36" s="203">
        <f>IFERROR(GETPIVOTDATA("dato",'[1]evolucion mensual nacionali'!$A$4,"indicador","RUSIA","mes",9,"año",2008),"-")</f>
        <v>4051</v>
      </c>
      <c r="AH36" s="204">
        <f t="shared" si="40"/>
        <v>-0.24463919448070115</v>
      </c>
      <c r="AI36" s="203">
        <f>IFERROR(GETPIVOTDATA("dato",'[1]evolucion mensual nacionali'!$A$4,"indicador","PAÍSES DEL ESTE","mes",9,"año",2008),"-")</f>
        <v>4541</v>
      </c>
      <c r="AJ36" s="204">
        <f t="shared" si="41"/>
        <v>0.15723751274209996</v>
      </c>
      <c r="AK36" s="203">
        <f>IFERROR(GETPIVOTDATA("dato",'[1]evolucion mensual nacionali'!$A$4,"indicador","RESTO DE EUROPA","mes",9,"año",2008),"-")</f>
        <v>4451</v>
      </c>
      <c r="AL36" s="204">
        <f t="shared" si="42"/>
        <v>0.10501489572989087</v>
      </c>
      <c r="AM36" s="203">
        <f>IFERROR(GETPIVOTDATA("dato",'[1]evolucion mensual nacionali'!$A$4,"indicador","USA","mes",9,"año",2008),"-")</f>
        <v>176</v>
      </c>
      <c r="AN36" s="204">
        <f t="shared" si="43"/>
        <v>-4.3478260869565188E-2</v>
      </c>
      <c r="AO36" s="203">
        <f>IFERROR(GETPIVOTDATA("dato",'[1]evolucion mensual nacionali'!$A$4,"indicador","RESTO DE AMÉRICA","mes",9,"año",2008),"-")</f>
        <v>156</v>
      </c>
      <c r="AP36" s="204">
        <f t="shared" si="44"/>
        <v>-0.38095238095238093</v>
      </c>
      <c r="AQ36" s="203">
        <f>IFERROR(GETPIVOTDATA("dato",'[1]evolucion mensual nacionali'!$A$4,"indicador","RESTO DEL MUNDO","mes",9,"año",2008),"-")</f>
        <v>342</v>
      </c>
      <c r="AR36" s="204">
        <f t="shared" si="45"/>
        <v>-0.52957359009628613</v>
      </c>
      <c r="AS36" s="203">
        <f t="shared" si="51"/>
        <v>100122</v>
      </c>
      <c r="AT36" s="204">
        <f t="shared" si="46"/>
        <v>-3.8268687683706948E-2</v>
      </c>
      <c r="AU36" s="205">
        <f>IFERROR(GETPIVOTDATA("dato",'[1]evolucion mensual nacionali'!$A$4,"indicador","TOTAL","mes",9,"año",2008),"-")</f>
        <v>137440</v>
      </c>
      <c r="AV36" s="206">
        <f t="shared" si="47"/>
        <v>-3.4648423507266157E-2</v>
      </c>
    </row>
    <row r="37" spans="2:48" ht="15" hidden="1" customHeight="1" outlineLevel="1">
      <c r="B37" s="51" t="s">
        <v>41</v>
      </c>
      <c r="C37" s="203">
        <f>IFERROR(GETPIVOTDATA("dato",'[1]evolucion mensual nacionali'!$A$4,"indicador","España","mes",8,"año",2008),"-")</f>
        <v>63676</v>
      </c>
      <c r="D37" s="204">
        <f t="shared" si="25"/>
        <v>4.1172046175479871E-2</v>
      </c>
      <c r="E37" s="203">
        <f>IFERROR(GETPIVOTDATA("dato",'[1]evolucion mensual nacionali'!$A$4,"indicador","HOLANDA","mes",8,"año",2008),"-")</f>
        <v>5634</v>
      </c>
      <c r="F37" s="204">
        <f t="shared" si="26"/>
        <v>6.6641423703142744E-2</v>
      </c>
      <c r="G37" s="203">
        <f>IFERROR(GETPIVOTDATA("dato",'[1]evolucion mensual nacionali'!$A$4,"indicador","BÉLGICA","mes",8,"año",2008),"-")</f>
        <v>5121</v>
      </c>
      <c r="H37" s="204">
        <f t="shared" si="27"/>
        <v>-0.31792754395311662</v>
      </c>
      <c r="I37" s="203">
        <f>IFERROR(GETPIVOTDATA("dato",'[1]evolucion mensual nacionali'!$A$4,"indicador","ALEMANIA","mes",8,"año",2008),"-")</f>
        <v>20729</v>
      </c>
      <c r="J37" s="204">
        <f t="shared" si="28"/>
        <v>-3.289166744424743E-2</v>
      </c>
      <c r="K37" s="203">
        <f>IFERROR(GETPIVOTDATA("dato",'[1]evolucion mensual nacionali'!$A$4,"indicador","FRANCIA","mes",8,"año",2008),"-")</f>
        <v>6039</v>
      </c>
      <c r="L37" s="204">
        <f t="shared" si="29"/>
        <v>0.31769583242417632</v>
      </c>
      <c r="M37" s="203">
        <f>IFERROR(GETPIVOTDATA("dato",'[1]evolucion mensual nacionali'!$A$4,"indicador","REINO UNIDO","mes",8,"año",2008),"-")</f>
        <v>56675</v>
      </c>
      <c r="N37" s="204">
        <f t="shared" si="30"/>
        <v>1.5353470206743269E-2</v>
      </c>
      <c r="O37" s="203">
        <f>IFERROR(GETPIVOTDATA("dato",'[1]evolucion mensual nacionali'!$A$4,"indicador","IRLANDA","mes",8,"año",2008),"-")</f>
        <v>3108</v>
      </c>
      <c r="P37" s="204">
        <f t="shared" si="31"/>
        <v>1.1568355308813323</v>
      </c>
      <c r="Q37" s="203">
        <f>IFERROR(GETPIVOTDATA("dato",'[1]evolucion mensual nacionali'!$A$4,"indicador","ITALIA","mes",8,"año",2008),"-")</f>
        <v>6840</v>
      </c>
      <c r="R37" s="204">
        <f t="shared" si="32"/>
        <v>-0.26782273603082851</v>
      </c>
      <c r="S37" s="203">
        <f t="shared" si="50"/>
        <v>1730</v>
      </c>
      <c r="T37" s="204">
        <f t="shared" si="33"/>
        <v>0.84829059829059839</v>
      </c>
      <c r="U37" s="203">
        <f>IFERROR(GETPIVOTDATA("dato",'[1]evolucion mensual nacionali'!$A$4,"indicador","SUECIA","mes",8,"año",2008),"-")</f>
        <v>378</v>
      </c>
      <c r="V37" s="204">
        <f t="shared" si="34"/>
        <v>0.37454545454545451</v>
      </c>
      <c r="W37" s="203">
        <f>IFERROR(GETPIVOTDATA("dato",'[1]evolucion mensual nacionali'!$A$4,"indicador","NORUEGA","mes",8,"año",2008),"-")</f>
        <v>327</v>
      </c>
      <c r="X37" s="204">
        <f t="shared" si="35"/>
        <v>0.3292682926829269</v>
      </c>
      <c r="Y37" s="203">
        <f>IFERROR(GETPIVOTDATA("dato",'[1]evolucion mensual nacionali'!$A$4,"indicador","DINAMARCA","mes",8,"año",2008),"-")</f>
        <v>987</v>
      </c>
      <c r="Z37" s="204">
        <f t="shared" si="36"/>
        <v>1.5703125</v>
      </c>
      <c r="AA37" s="203">
        <f>IFERROR(GETPIVOTDATA("dato",'[1]evolucion mensual nacionali'!$A$4,"indicador","FINLANDIA","mes",8,"año",2008),"-")</f>
        <v>38</v>
      </c>
      <c r="AB37" s="204">
        <f t="shared" si="37"/>
        <v>0.22580645161290325</v>
      </c>
      <c r="AC37" s="203">
        <f>IFERROR(GETPIVOTDATA("dato",'[1]evolucion mensual nacionali'!$A$4,"indicador","SUIZA","mes",8,"año",2008),"-")</f>
        <v>946</v>
      </c>
      <c r="AD37" s="204">
        <f t="shared" si="38"/>
        <v>0.26133333333333342</v>
      </c>
      <c r="AE37" s="203">
        <f>IFERROR(GETPIVOTDATA("dato",'[1]evolucion mensual nacionali'!$A$4,"indicador","AUSTRIA","mes",8,"año",2008),"-")</f>
        <v>937</v>
      </c>
      <c r="AF37" s="204">
        <f t="shared" si="39"/>
        <v>-0.22561983471074376</v>
      </c>
      <c r="AG37" s="203">
        <f>IFERROR(GETPIVOTDATA("dato",'[1]evolucion mensual nacionali'!$A$4,"indicador","RUSIA","mes",8,"año",2008),"-")</f>
        <v>5477</v>
      </c>
      <c r="AH37" s="204">
        <f t="shared" si="40"/>
        <v>7.8786685050226568E-2</v>
      </c>
      <c r="AI37" s="203">
        <f>IFERROR(GETPIVOTDATA("dato",'[1]evolucion mensual nacionali'!$A$4,"indicador","PAÍSES DEL ESTE","mes",8,"año",2008),"-")</f>
        <v>3640</v>
      </c>
      <c r="AJ37" s="204">
        <f t="shared" si="41"/>
        <v>-6.1855670103092786E-2</v>
      </c>
      <c r="AK37" s="203">
        <f>IFERROR(GETPIVOTDATA("dato",'[1]evolucion mensual nacionali'!$A$4,"indicador","RESTO DE EUROPA","mes",8,"año",2008),"-")</f>
        <v>6148</v>
      </c>
      <c r="AL37" s="204">
        <f t="shared" si="42"/>
        <v>5.1479391140755837E-2</v>
      </c>
      <c r="AM37" s="203">
        <f>IFERROR(GETPIVOTDATA("dato",'[1]evolucion mensual nacionali'!$A$4,"indicador","USA","mes",8,"año",2008),"-")</f>
        <v>300</v>
      </c>
      <c r="AN37" s="204">
        <f t="shared" si="43"/>
        <v>0.13207547169811318</v>
      </c>
      <c r="AO37" s="203">
        <f>IFERROR(GETPIVOTDATA("dato",'[1]evolucion mensual nacionali'!$A$4,"indicador","RESTO DE AMÉRICA","mes",8,"año",2008),"-")</f>
        <v>265</v>
      </c>
      <c r="AP37" s="204">
        <f t="shared" si="44"/>
        <v>7.7235772357723498E-2</v>
      </c>
      <c r="AQ37" s="203">
        <f>IFERROR(GETPIVOTDATA("dato",'[1]evolucion mensual nacionali'!$A$4,"indicador","RESTO DEL MUNDO","mes",8,"año",2008),"-")</f>
        <v>733</v>
      </c>
      <c r="AR37" s="204">
        <f t="shared" si="45"/>
        <v>-0.1526011560693642</v>
      </c>
      <c r="AS37" s="203">
        <f t="shared" si="51"/>
        <v>124322</v>
      </c>
      <c r="AT37" s="204">
        <f t="shared" si="46"/>
        <v>-1.3013720638797022E-3</v>
      </c>
      <c r="AU37" s="205">
        <f>IFERROR(GETPIVOTDATA("dato",'[1]evolucion mensual nacionali'!$A$4,"indicador","TOTAL","mes",8,"año",2008),"-")</f>
        <v>187998</v>
      </c>
      <c r="AV37" s="206">
        <f t="shared" si="47"/>
        <v>1.26910936102822E-2</v>
      </c>
    </row>
    <row r="38" spans="2:48" ht="15" hidden="1" customHeight="1" outlineLevel="1">
      <c r="B38" s="51" t="s">
        <v>42</v>
      </c>
      <c r="C38" s="203">
        <f>IFERROR(GETPIVOTDATA("dato",'[1]evolucion mensual nacionali'!$A$4,"indicador","España","mes",7,"año",2008),"-")</f>
        <v>45703</v>
      </c>
      <c r="D38" s="204">
        <f t="shared" si="25"/>
        <v>-7.0302487845562367E-2</v>
      </c>
      <c r="E38" s="203">
        <f>IFERROR(GETPIVOTDATA("dato",'[1]evolucion mensual nacionali'!$A$4,"indicador","HOLANDA","mes",7,"año",2008),"-")</f>
        <v>7540</v>
      </c>
      <c r="F38" s="204">
        <f t="shared" si="26"/>
        <v>-6.8330656122575051E-2</v>
      </c>
      <c r="G38" s="203">
        <f>IFERROR(GETPIVOTDATA("dato",'[1]evolucion mensual nacionali'!$A$4,"indicador","BÉLGICA","mes",7,"año",2008),"-")</f>
        <v>4409</v>
      </c>
      <c r="H38" s="204">
        <f t="shared" si="27"/>
        <v>-0.32418761496014714</v>
      </c>
      <c r="I38" s="203">
        <f>IFERROR(GETPIVOTDATA("dato",'[1]evolucion mensual nacionali'!$A$4,"indicador","ALEMANIA","mes",7,"año",2008),"-")</f>
        <v>19585</v>
      </c>
      <c r="J38" s="204">
        <f t="shared" si="28"/>
        <v>2.3784631468896977E-2</v>
      </c>
      <c r="K38" s="203">
        <f>IFERROR(GETPIVOTDATA("dato",'[1]evolucion mensual nacionali'!$A$4,"indicador","FRANCIA","mes",7,"año",2008),"-")</f>
        <v>3805</v>
      </c>
      <c r="L38" s="204">
        <f t="shared" si="29"/>
        <v>0.19541313226515866</v>
      </c>
      <c r="M38" s="203">
        <f>IFERROR(GETPIVOTDATA("dato",'[1]evolucion mensual nacionali'!$A$4,"indicador","REINO UNIDO","mes",7,"año",2008),"-")</f>
        <v>54207</v>
      </c>
      <c r="N38" s="204">
        <f t="shared" si="30"/>
        <v>0.11743970315398888</v>
      </c>
      <c r="O38" s="203">
        <f>IFERROR(GETPIVOTDATA("dato",'[1]evolucion mensual nacionali'!$A$4,"indicador","IRLANDA","mes",7,"año",2008),"-")</f>
        <v>2754</v>
      </c>
      <c r="P38" s="204">
        <f t="shared" si="31"/>
        <v>0.92452830188679247</v>
      </c>
      <c r="Q38" s="203">
        <f>IFERROR(GETPIVOTDATA("dato",'[1]evolucion mensual nacionali'!$A$4,"indicador","ITALIA","mes",7,"año",2008),"-")</f>
        <v>3211</v>
      </c>
      <c r="R38" s="204">
        <f t="shared" si="32"/>
        <v>-0.41060939794419971</v>
      </c>
      <c r="S38" s="203">
        <f t="shared" si="50"/>
        <v>2534</v>
      </c>
      <c r="T38" s="204">
        <f t="shared" si="33"/>
        <v>1.0353413654618473</v>
      </c>
      <c r="U38" s="203">
        <f>IFERROR(GETPIVOTDATA("dato",'[1]evolucion mensual nacionali'!$A$4,"indicador","SUECIA","mes",7,"año",2008),"-")</f>
        <v>504</v>
      </c>
      <c r="V38" s="204">
        <f t="shared" si="34"/>
        <v>0.8</v>
      </c>
      <c r="W38" s="203">
        <f>IFERROR(GETPIVOTDATA("dato",'[1]evolucion mensual nacionali'!$A$4,"indicador","NORUEGA","mes",7,"año",2008),"-")</f>
        <v>608</v>
      </c>
      <c r="X38" s="204">
        <f t="shared" si="35"/>
        <v>0.76744186046511631</v>
      </c>
      <c r="Y38" s="203">
        <f>IFERROR(GETPIVOTDATA("dato",'[1]evolucion mensual nacionali'!$A$4,"indicador","DINAMARCA","mes",7,"año",2008),"-")</f>
        <v>1384</v>
      </c>
      <c r="Z38" s="204">
        <f t="shared" si="36"/>
        <v>1.3378378378378377</v>
      </c>
      <c r="AA38" s="203">
        <f>IFERROR(GETPIVOTDATA("dato",'[1]evolucion mensual nacionali'!$A$4,"indicador","FINLANDIA","mes",7,"año",2008),"-")</f>
        <v>38</v>
      </c>
      <c r="AB38" s="204">
        <f t="shared" si="37"/>
        <v>0.31034482758620685</v>
      </c>
      <c r="AC38" s="203">
        <f>IFERROR(GETPIVOTDATA("dato",'[1]evolucion mensual nacionali'!$A$4,"indicador","SUIZA","mes",7,"año",2008),"-")</f>
        <v>1254</v>
      </c>
      <c r="AD38" s="204">
        <f t="shared" si="38"/>
        <v>8.3837510803802973E-2</v>
      </c>
      <c r="AE38" s="203">
        <f>IFERROR(GETPIVOTDATA("dato",'[1]evolucion mensual nacionali'!$A$4,"indicador","AUSTRIA","mes",7,"año",2008),"-")</f>
        <v>1184</v>
      </c>
      <c r="AF38" s="204">
        <f t="shared" si="39"/>
        <v>-5.2041633306645352E-2</v>
      </c>
      <c r="AG38" s="203">
        <f>IFERROR(GETPIVOTDATA("dato",'[1]evolucion mensual nacionali'!$A$4,"indicador","RUSIA","mes",7,"año",2008),"-")</f>
        <v>5005</v>
      </c>
      <c r="AH38" s="204">
        <f t="shared" si="40"/>
        <v>9.9033816425120769E-2</v>
      </c>
      <c r="AI38" s="203">
        <f>IFERROR(GETPIVOTDATA("dato",'[1]evolucion mensual nacionali'!$A$4,"indicador","PAÍSES DEL ESTE","mes",7,"año",2008),"-")</f>
        <v>3744</v>
      </c>
      <c r="AJ38" s="204">
        <f t="shared" si="41"/>
        <v>1.8498367791077275E-2</v>
      </c>
      <c r="AK38" s="203">
        <f>IFERROR(GETPIVOTDATA("dato",'[1]evolucion mensual nacionali'!$A$4,"indicador","RESTO DE EUROPA","mes",7,"año",2008),"-")</f>
        <v>5311</v>
      </c>
      <c r="AL38" s="204">
        <f t="shared" si="42"/>
        <v>-1.024972046216921E-2</v>
      </c>
      <c r="AM38" s="203">
        <f>IFERROR(GETPIVOTDATA("dato",'[1]evolucion mensual nacionali'!$A$4,"indicador","USA","mes",7,"año",2008),"-")</f>
        <v>262</v>
      </c>
      <c r="AN38" s="204">
        <f t="shared" si="43"/>
        <v>-0.17350157728706628</v>
      </c>
      <c r="AO38" s="203">
        <f>IFERROR(GETPIVOTDATA("dato",'[1]evolucion mensual nacionali'!$A$4,"indicador","RESTO DE AMÉRICA","mes",7,"año",2008),"-")</f>
        <v>200</v>
      </c>
      <c r="AP38" s="204">
        <f t="shared" si="44"/>
        <v>-0.31972789115646261</v>
      </c>
      <c r="AQ38" s="203">
        <f>IFERROR(GETPIVOTDATA("dato",'[1]evolucion mensual nacionali'!$A$4,"indicador","RESTO DEL MUNDO","mes",7,"año",2008),"-")</f>
        <v>565</v>
      </c>
      <c r="AR38" s="204">
        <f t="shared" si="45"/>
        <v>-0.42522889114954221</v>
      </c>
      <c r="AS38" s="203">
        <f t="shared" si="51"/>
        <v>115570</v>
      </c>
      <c r="AT38" s="204">
        <f t="shared" si="46"/>
        <v>3.9672544080604499E-2</v>
      </c>
      <c r="AU38" s="205">
        <f>IFERROR(GETPIVOTDATA("dato",'[1]evolucion mensual nacionali'!$A$4,"indicador","TOTAL","mes",7,"año",2008),"-")</f>
        <v>161273</v>
      </c>
      <c r="AV38" s="206">
        <f t="shared" si="47"/>
        <v>5.9506359196352943E-3</v>
      </c>
    </row>
    <row r="39" spans="2:48" ht="15" hidden="1" customHeight="1" outlineLevel="1">
      <c r="B39" s="51" t="s">
        <v>43</v>
      </c>
      <c r="C39" s="203">
        <f>IFERROR(GETPIVOTDATA("dato",'[1]evolucion mensual nacionali'!$A$4,"indicador","España","mes",6,"año",2008),"-")</f>
        <v>40133</v>
      </c>
      <c r="D39" s="204">
        <f t="shared" si="25"/>
        <v>1.6334076175040568E-2</v>
      </c>
      <c r="E39" s="203">
        <f>IFERROR(GETPIVOTDATA("dato",'[1]evolucion mensual nacionali'!$A$4,"indicador","HOLANDA","mes",6,"año",2008),"-")</f>
        <v>4456</v>
      </c>
      <c r="F39" s="204">
        <f t="shared" si="26"/>
        <v>0.22182615848642717</v>
      </c>
      <c r="G39" s="203">
        <f>IFERROR(GETPIVOTDATA("dato",'[1]evolucion mensual nacionali'!$A$4,"indicador","BÉLGICA","mes",6,"año",2008),"-")</f>
        <v>3620</v>
      </c>
      <c r="H39" s="204">
        <f t="shared" si="27"/>
        <v>-8.2615306639635122E-2</v>
      </c>
      <c r="I39" s="203">
        <f>IFERROR(GETPIVOTDATA("dato",'[1]evolucion mensual nacionali'!$A$4,"indicador","ALEMANIA","mes",6,"año",2008),"-")</f>
        <v>21383</v>
      </c>
      <c r="J39" s="204">
        <f t="shared" si="28"/>
        <v>3.0953184513764942E-2</v>
      </c>
      <c r="K39" s="203">
        <f>IFERROR(GETPIVOTDATA("dato",'[1]evolucion mensual nacionali'!$A$4,"indicador","FRANCIA","mes",6,"año",2008),"-")</f>
        <v>2330</v>
      </c>
      <c r="L39" s="204">
        <f t="shared" si="29"/>
        <v>6.3926940639269514E-2</v>
      </c>
      <c r="M39" s="203">
        <f>IFERROR(GETPIVOTDATA("dato",'[1]evolucion mensual nacionali'!$A$4,"indicador","REINO UNIDO","mes",6,"año",2008),"-")</f>
        <v>50383</v>
      </c>
      <c r="N39" s="204">
        <f t="shared" si="30"/>
        <v>-5.2505876821814734E-2</v>
      </c>
      <c r="O39" s="203">
        <f>IFERROR(GETPIVOTDATA("dato",'[1]evolucion mensual nacionali'!$A$4,"indicador","IRLANDA","mes",6,"año",2008),"-")</f>
        <v>3094</v>
      </c>
      <c r="P39" s="204">
        <f t="shared" si="31"/>
        <v>1.1912181303116149</v>
      </c>
      <c r="Q39" s="203">
        <f>IFERROR(GETPIVOTDATA("dato",'[1]evolucion mensual nacionali'!$A$4,"indicador","ITALIA","mes",6,"año",2008),"-")</f>
        <v>3818</v>
      </c>
      <c r="R39" s="204">
        <f t="shared" si="32"/>
        <v>8.0973952434881147E-2</v>
      </c>
      <c r="S39" s="203">
        <f t="shared" si="50"/>
        <v>1729</v>
      </c>
      <c r="T39" s="204">
        <f t="shared" si="33"/>
        <v>1.9305084745762713</v>
      </c>
      <c r="U39" s="203">
        <f>IFERROR(GETPIVOTDATA("dato",'[1]evolucion mensual nacionali'!$A$4,"indicador","SUECIA","mes",6,"año",2008),"-")</f>
        <v>416</v>
      </c>
      <c r="V39" s="204">
        <f t="shared" si="34"/>
        <v>2.6814159292035398</v>
      </c>
      <c r="W39" s="203">
        <f>IFERROR(GETPIVOTDATA("dato",'[1]evolucion mensual nacionali'!$A$4,"indicador","NORUEGA","mes",6,"año",2008),"-")</f>
        <v>362</v>
      </c>
      <c r="X39" s="204">
        <f t="shared" si="35"/>
        <v>5.8301886792452828</v>
      </c>
      <c r="Y39" s="203">
        <f>IFERROR(GETPIVOTDATA("dato",'[1]evolucion mensual nacionali'!$A$4,"indicador","DINAMARCA","mes",6,"año",2008),"-")</f>
        <v>927</v>
      </c>
      <c r="Z39" s="204">
        <f t="shared" si="36"/>
        <v>1.3953488372093021</v>
      </c>
      <c r="AA39" s="203">
        <f>IFERROR(GETPIVOTDATA("dato",'[1]evolucion mensual nacionali'!$A$4,"indicador","FINLANDIA","mes",6,"año",2008),"-")</f>
        <v>24</v>
      </c>
      <c r="AB39" s="204">
        <f t="shared" si="37"/>
        <v>-0.35135135135135132</v>
      </c>
      <c r="AC39" s="203">
        <f>IFERROR(GETPIVOTDATA("dato",'[1]evolucion mensual nacionali'!$A$4,"indicador","SUIZA","mes",6,"año",2008),"-")</f>
        <v>891</v>
      </c>
      <c r="AD39" s="204">
        <f t="shared" si="38"/>
        <v>2.2497187851517886E-3</v>
      </c>
      <c r="AE39" s="203">
        <f>IFERROR(GETPIVOTDATA("dato",'[1]evolucion mensual nacionali'!$A$4,"indicador","AUSTRIA","mes",6,"año",2008),"-")</f>
        <v>803</v>
      </c>
      <c r="AF39" s="204">
        <f t="shared" si="39"/>
        <v>-0.27527075812274371</v>
      </c>
      <c r="AG39" s="203">
        <f>IFERROR(GETPIVOTDATA("dato",'[1]evolucion mensual nacionali'!$A$4,"indicador","RUSIA","mes",6,"año",2008),"-")</f>
        <v>5112</v>
      </c>
      <c r="AH39" s="204">
        <f t="shared" si="40"/>
        <v>0.15708465368945235</v>
      </c>
      <c r="AI39" s="203">
        <f>IFERROR(GETPIVOTDATA("dato",'[1]evolucion mensual nacionali'!$A$4,"indicador","PAÍSES DEL ESTE","mes",6,"año",2008),"-")</f>
        <v>2542</v>
      </c>
      <c r="AJ39" s="204">
        <f t="shared" si="41"/>
        <v>-0.28895104895104895</v>
      </c>
      <c r="AK39" s="203">
        <f>IFERROR(GETPIVOTDATA("dato",'[1]evolucion mensual nacionali'!$A$4,"indicador","RESTO DE EUROPA","mes",6,"año",2008),"-")</f>
        <v>4920</v>
      </c>
      <c r="AL39" s="204">
        <f t="shared" si="42"/>
        <v>0.13181504485852313</v>
      </c>
      <c r="AM39" s="203">
        <f>IFERROR(GETPIVOTDATA("dato",'[1]evolucion mensual nacionali'!$A$4,"indicador","USA","mes",6,"año",2008),"-")</f>
        <v>239</v>
      </c>
      <c r="AN39" s="204">
        <f t="shared" si="43"/>
        <v>-0.30523255813953487</v>
      </c>
      <c r="AO39" s="203">
        <f>IFERROR(GETPIVOTDATA("dato",'[1]evolucion mensual nacionali'!$A$4,"indicador","RESTO DE AMÉRICA","mes",6,"año",2008),"-")</f>
        <v>192</v>
      </c>
      <c r="AP39" s="204">
        <f t="shared" si="44"/>
        <v>-0.19999999999999996</v>
      </c>
      <c r="AQ39" s="203">
        <f>IFERROR(GETPIVOTDATA("dato",'[1]evolucion mensual nacionali'!$A$4,"indicador","RESTO DEL MUNDO","mes",6,"año",2008),"-")</f>
        <v>718</v>
      </c>
      <c r="AR39" s="204">
        <f t="shared" si="45"/>
        <v>-0.16898148148148151</v>
      </c>
      <c r="AS39" s="203">
        <f t="shared" si="51"/>
        <v>106230</v>
      </c>
      <c r="AT39" s="204">
        <f t="shared" si="46"/>
        <v>1.154087870650744E-2</v>
      </c>
      <c r="AU39" s="205">
        <f>IFERROR(GETPIVOTDATA("dato",'[1]evolucion mensual nacionali'!$A$4,"indicador","TOTAL","mes",6,"año",2008),"-")</f>
        <v>146363</v>
      </c>
      <c r="AV39" s="206">
        <f t="shared" si="47"/>
        <v>1.2850677480519934E-2</v>
      </c>
    </row>
    <row r="40" spans="2:48" ht="15" hidden="1" customHeight="1" outlineLevel="1">
      <c r="B40" s="51" t="s">
        <v>44</v>
      </c>
      <c r="C40" s="203">
        <f>IFERROR(GETPIVOTDATA("dato",'[1]evolucion mensual nacionali'!$A$4,"indicador","España","mes",5,"año",2008),"-")</f>
        <v>37820</v>
      </c>
      <c r="D40" s="204">
        <f t="shared" si="25"/>
        <v>0.41977625947893982</v>
      </c>
      <c r="E40" s="203">
        <f>IFERROR(GETPIVOTDATA("dato",'[1]evolucion mensual nacionali'!$A$4,"indicador","HOLANDA","mes",5,"año",2008),"-")</f>
        <v>5659</v>
      </c>
      <c r="F40" s="204">
        <f t="shared" si="26"/>
        <v>0.20970500213766563</v>
      </c>
      <c r="G40" s="203">
        <f>IFERROR(GETPIVOTDATA("dato",'[1]evolucion mensual nacionali'!$A$4,"indicador","BÉLGICA","mes",5,"año",2008),"-")</f>
        <v>3051</v>
      </c>
      <c r="H40" s="204">
        <f t="shared" si="27"/>
        <v>-0.14249578414839803</v>
      </c>
      <c r="I40" s="203">
        <f>IFERROR(GETPIVOTDATA("dato",'[1]evolucion mensual nacionali'!$A$4,"indicador","ALEMANIA","mes",5,"año",2008),"-")</f>
        <v>22935</v>
      </c>
      <c r="J40" s="204">
        <f t="shared" si="28"/>
        <v>0.27615179167594039</v>
      </c>
      <c r="K40" s="203">
        <f>IFERROR(GETPIVOTDATA("dato",'[1]evolucion mensual nacionali'!$A$4,"indicador","FRANCIA","mes",5,"año",2008),"-")</f>
        <v>2857</v>
      </c>
      <c r="L40" s="204">
        <f t="shared" si="29"/>
        <v>0.47420020639834881</v>
      </c>
      <c r="M40" s="203">
        <f>IFERROR(GETPIVOTDATA("dato",'[1]evolucion mensual nacionali'!$A$4,"indicador","REINO UNIDO","mes",5,"año",2008),"-")</f>
        <v>55122</v>
      </c>
      <c r="N40" s="204">
        <f t="shared" si="30"/>
        <v>0.16372157831401601</v>
      </c>
      <c r="O40" s="203">
        <f>IFERROR(GETPIVOTDATA("dato",'[1]evolucion mensual nacionali'!$A$4,"indicador","IRLANDA","mes",5,"año",2008),"-")</f>
        <v>2596</v>
      </c>
      <c r="P40" s="204">
        <f t="shared" si="31"/>
        <v>0.94602698650674655</v>
      </c>
      <c r="Q40" s="203">
        <f>IFERROR(GETPIVOTDATA("dato",'[1]evolucion mensual nacionali'!$A$4,"indicador","ITALIA","mes",5,"año",2008),"-")</f>
        <v>2353</v>
      </c>
      <c r="R40" s="204">
        <f t="shared" si="32"/>
        <v>-0.11006051437216335</v>
      </c>
      <c r="S40" s="203">
        <f t="shared" si="50"/>
        <v>1637</v>
      </c>
      <c r="T40" s="204">
        <f t="shared" si="33"/>
        <v>2.3892339544513459</v>
      </c>
      <c r="U40" s="203">
        <f>IFERROR(GETPIVOTDATA("dato",'[1]evolucion mensual nacionali'!$A$4,"indicador","SUECIA","mes",5,"año",2008),"-")</f>
        <v>276</v>
      </c>
      <c r="V40" s="204">
        <f t="shared" si="34"/>
        <v>1.4642857142857144</v>
      </c>
      <c r="W40" s="203">
        <f>IFERROR(GETPIVOTDATA("dato",'[1]evolucion mensual nacionali'!$A$4,"indicador","NORUEGA","mes",5,"año",2008),"-")</f>
        <v>355</v>
      </c>
      <c r="X40" s="204">
        <f t="shared" si="35"/>
        <v>12.653846153846153</v>
      </c>
      <c r="Y40" s="203">
        <f>IFERROR(GETPIVOTDATA("dato",'[1]evolucion mensual nacionali'!$A$4,"indicador","DINAMARCA","mes",5,"año",2008),"-")</f>
        <v>754</v>
      </c>
      <c r="Z40" s="204">
        <f t="shared" si="36"/>
        <v>1.4166666666666665</v>
      </c>
      <c r="AA40" s="203">
        <f>IFERROR(GETPIVOTDATA("dato",'[1]evolucion mensual nacionali'!$A$4,"indicador","FINLANDIA","mes",5,"año",2008),"-")</f>
        <v>252</v>
      </c>
      <c r="AB40" s="204">
        <f t="shared" si="37"/>
        <v>6.6363636363636367</v>
      </c>
      <c r="AC40" s="203">
        <f>IFERROR(GETPIVOTDATA("dato",'[1]evolucion mensual nacionali'!$A$4,"indicador","SUIZA","mes",5,"año",2008),"-")</f>
        <v>1062</v>
      </c>
      <c r="AD40" s="204">
        <f t="shared" si="38"/>
        <v>0.33249686323713923</v>
      </c>
      <c r="AE40" s="203">
        <f>IFERROR(GETPIVOTDATA("dato",'[1]evolucion mensual nacionali'!$A$4,"indicador","AUSTRIA","mes",5,"año",2008),"-")</f>
        <v>1335</v>
      </c>
      <c r="AF40" s="204">
        <f t="shared" si="39"/>
        <v>0.83631361760660239</v>
      </c>
      <c r="AG40" s="203">
        <f>IFERROR(GETPIVOTDATA("dato",'[1]evolucion mensual nacionali'!$A$4,"indicador","RUSIA","mes",5,"año",2008),"-")</f>
        <v>5734</v>
      </c>
      <c r="AH40" s="204">
        <f t="shared" si="40"/>
        <v>0.92158176943699721</v>
      </c>
      <c r="AI40" s="203">
        <f>IFERROR(GETPIVOTDATA("dato",'[1]evolucion mensual nacionali'!$A$4,"indicador","PAÍSES DEL ESTE","mes",5,"año",2008),"-")</f>
        <v>6721</v>
      </c>
      <c r="AJ40" s="204">
        <f t="shared" si="41"/>
        <v>3.5845839017735335</v>
      </c>
      <c r="AK40" s="203">
        <f>IFERROR(GETPIVOTDATA("dato",'[1]evolucion mensual nacionali'!$A$4,"indicador","RESTO DE EUROPA","mes",5,"año",2008),"-")</f>
        <v>3478</v>
      </c>
      <c r="AL40" s="204">
        <f t="shared" si="42"/>
        <v>0.4743535396354388</v>
      </c>
      <c r="AM40" s="203">
        <f>IFERROR(GETPIVOTDATA("dato",'[1]evolucion mensual nacionali'!$A$4,"indicador","USA","mes",5,"año",2008),"-")</f>
        <v>254</v>
      </c>
      <c r="AN40" s="204">
        <f t="shared" si="43"/>
        <v>-0.36020151133501255</v>
      </c>
      <c r="AO40" s="203">
        <f>IFERROR(GETPIVOTDATA("dato",'[1]evolucion mensual nacionali'!$A$4,"indicador","RESTO DE AMÉRICA","mes",5,"año",2008),"-")</f>
        <v>286</v>
      </c>
      <c r="AP40" s="204">
        <f t="shared" si="44"/>
        <v>0</v>
      </c>
      <c r="AQ40" s="203">
        <f>IFERROR(GETPIVOTDATA("dato",'[1]evolucion mensual nacionali'!$A$4,"indicador","RESTO DEL MUNDO","mes",5,"año",2008),"-")</f>
        <v>605</v>
      </c>
      <c r="AR40" s="204">
        <f t="shared" si="45"/>
        <v>0.20999999999999996</v>
      </c>
      <c r="AS40" s="203">
        <f t="shared" si="51"/>
        <v>115685</v>
      </c>
      <c r="AT40" s="204">
        <f t="shared" si="46"/>
        <v>0.29271426975081005</v>
      </c>
      <c r="AU40" s="205">
        <f>IFERROR(GETPIVOTDATA("dato",'[1]evolucion mensual nacionali'!$A$4,"indicador","TOTAL","mes",5,"año",2008),"-")</f>
        <v>153505</v>
      </c>
      <c r="AV40" s="206">
        <f t="shared" si="47"/>
        <v>0.32186036098098647</v>
      </c>
    </row>
    <row r="41" spans="2:48" ht="15" hidden="1" customHeight="1" outlineLevel="1">
      <c r="B41" s="51" t="s">
        <v>45</v>
      </c>
      <c r="C41" s="203">
        <f>IFERROR(GETPIVOTDATA("dato",'[1]evolucion mensual nacionali'!$A$4,"indicador","España","mes",4,"año",2008),"-")</f>
        <v>24716</v>
      </c>
      <c r="D41" s="204">
        <f t="shared" si="25"/>
        <v>-0.24621061941504774</v>
      </c>
      <c r="E41" s="203">
        <f>IFERROR(GETPIVOTDATA("dato",'[1]evolucion mensual nacionali'!$A$4,"indicador","HOLANDA","mes",4,"año",2008),"-")</f>
        <v>8249</v>
      </c>
      <c r="F41" s="204">
        <f t="shared" si="26"/>
        <v>0.30233659614777397</v>
      </c>
      <c r="G41" s="203">
        <f>IFERROR(GETPIVOTDATA("dato",'[1]evolucion mensual nacionali'!$A$4,"indicador","BÉLGICA","mes",4,"año",2008),"-")</f>
        <v>4431</v>
      </c>
      <c r="H41" s="204">
        <f t="shared" si="27"/>
        <v>-0.28416801292407112</v>
      </c>
      <c r="I41" s="203">
        <f>IFERROR(GETPIVOTDATA("dato",'[1]evolucion mensual nacionali'!$A$4,"indicador","ALEMANIA","mes",4,"año",2008),"-")</f>
        <v>25442</v>
      </c>
      <c r="J41" s="204">
        <f t="shared" si="28"/>
        <v>-1.5719562996152625E-4</v>
      </c>
      <c r="K41" s="203">
        <f>IFERROR(GETPIVOTDATA("dato",'[1]evolucion mensual nacionali'!$A$4,"indicador","FRANCIA","mes",4,"año",2008),"-")</f>
        <v>5181</v>
      </c>
      <c r="L41" s="204">
        <f t="shared" si="29"/>
        <v>0.13320209973753272</v>
      </c>
      <c r="M41" s="203">
        <f>IFERROR(GETPIVOTDATA("dato",'[1]evolucion mensual nacionali'!$A$4,"indicador","REINO UNIDO","mes",4,"año",2008),"-")</f>
        <v>58180</v>
      </c>
      <c r="N41" s="204">
        <f t="shared" si="30"/>
        <v>-1.6182762060977018E-2</v>
      </c>
      <c r="O41" s="203">
        <f>IFERROR(GETPIVOTDATA("dato",'[1]evolucion mensual nacionali'!$A$4,"indicador","IRLANDA","mes",4,"año",2008),"-")</f>
        <v>2242</v>
      </c>
      <c r="P41" s="204">
        <f t="shared" si="31"/>
        <v>0.65217391304347827</v>
      </c>
      <c r="Q41" s="203">
        <f>IFERROR(GETPIVOTDATA("dato",'[1]evolucion mensual nacionali'!$A$4,"indicador","ITALIA","mes",4,"año",2008),"-")</f>
        <v>2539</v>
      </c>
      <c r="R41" s="204">
        <f t="shared" si="32"/>
        <v>-0.37277667984189722</v>
      </c>
      <c r="S41" s="203">
        <f t="shared" si="50"/>
        <v>7380</v>
      </c>
      <c r="T41" s="204">
        <f t="shared" si="33"/>
        <v>-0.18218085106382975</v>
      </c>
      <c r="U41" s="203">
        <f>IFERROR(GETPIVOTDATA("dato",'[1]evolucion mensual nacionali'!$A$4,"indicador","SUECIA","mes",4,"año",2008),"-")</f>
        <v>2575</v>
      </c>
      <c r="V41" s="204">
        <f t="shared" si="34"/>
        <v>-0.24663545933294329</v>
      </c>
      <c r="W41" s="203">
        <f>IFERROR(GETPIVOTDATA("dato",'[1]evolucion mensual nacionali'!$A$4,"indicador","NORUEGA","mes",4,"año",2008),"-")</f>
        <v>1000</v>
      </c>
      <c r="X41" s="204">
        <f t="shared" si="35"/>
        <v>-0.34340118187787261</v>
      </c>
      <c r="Y41" s="203">
        <f>IFERROR(GETPIVOTDATA("dato",'[1]evolucion mensual nacionali'!$A$4,"indicador","DINAMARCA","mes",4,"año",2008),"-")</f>
        <v>2711</v>
      </c>
      <c r="Z41" s="204">
        <f t="shared" si="36"/>
        <v>1.5355805243445708E-2</v>
      </c>
      <c r="AA41" s="203">
        <f>IFERROR(GETPIVOTDATA("dato",'[1]evolucion mensual nacionali'!$A$4,"indicador","FINLANDIA","mes",4,"año",2008),"-")</f>
        <v>1094</v>
      </c>
      <c r="AB41" s="204">
        <f t="shared" si="37"/>
        <v>-0.22576079263977356</v>
      </c>
      <c r="AC41" s="203">
        <f>IFERROR(GETPIVOTDATA("dato",'[1]evolucion mensual nacionali'!$A$4,"indicador","SUIZA","mes",4,"año",2008),"-")</f>
        <v>947</v>
      </c>
      <c r="AD41" s="204">
        <f t="shared" si="38"/>
        <v>7.9817559863169851E-2</v>
      </c>
      <c r="AE41" s="203">
        <f>IFERROR(GETPIVOTDATA("dato",'[1]evolucion mensual nacionali'!$A$4,"indicador","AUSTRIA","mes",4,"año",2008),"-")</f>
        <v>1024</v>
      </c>
      <c r="AF41" s="204">
        <f t="shared" si="39"/>
        <v>-6.0550458715596278E-2</v>
      </c>
      <c r="AG41" s="203">
        <f>IFERROR(GETPIVOTDATA("dato",'[1]evolucion mensual nacionali'!$A$4,"indicador","RUSIA","mes",4,"año",2008),"-")</f>
        <v>4572</v>
      </c>
      <c r="AH41" s="204">
        <f t="shared" si="40"/>
        <v>0.29116068907088399</v>
      </c>
      <c r="AI41" s="203">
        <f>IFERROR(GETPIVOTDATA("dato",'[1]evolucion mensual nacionali'!$A$4,"indicador","PAÍSES DEL ESTE","mes",4,"año",2008),"-")</f>
        <v>3999</v>
      </c>
      <c r="AJ41" s="204">
        <f t="shared" si="41"/>
        <v>0.55482115085536554</v>
      </c>
      <c r="AK41" s="203">
        <f>IFERROR(GETPIVOTDATA("dato",'[1]evolucion mensual nacionali'!$A$4,"indicador","RESTO DE EUROPA","mes",4,"año",2008),"-")</f>
        <v>3612</v>
      </c>
      <c r="AL41" s="204">
        <f t="shared" si="42"/>
        <v>0.36870026525198929</v>
      </c>
      <c r="AM41" s="203">
        <f>IFERROR(GETPIVOTDATA("dato",'[1]evolucion mensual nacionali'!$A$4,"indicador","USA","mes",4,"año",2008),"-")</f>
        <v>356</v>
      </c>
      <c r="AN41" s="204">
        <f t="shared" si="43"/>
        <v>3.488372093023262E-2</v>
      </c>
      <c r="AO41" s="203">
        <f>IFERROR(GETPIVOTDATA("dato",'[1]evolucion mensual nacionali'!$A$4,"indicador","RESTO DE AMÉRICA","mes",4,"año",2008),"-")</f>
        <v>145</v>
      </c>
      <c r="AP41" s="204">
        <f t="shared" si="44"/>
        <v>-0.36403508771929827</v>
      </c>
      <c r="AQ41" s="203">
        <f>IFERROR(GETPIVOTDATA("dato",'[1]evolucion mensual nacionali'!$A$4,"indicador","RESTO DEL MUNDO","mes",4,"año",2008),"-")</f>
        <v>1007</v>
      </c>
      <c r="AR41" s="204">
        <f t="shared" si="45"/>
        <v>0.25404732254047313</v>
      </c>
      <c r="AS41" s="203">
        <f t="shared" si="51"/>
        <v>129306</v>
      </c>
      <c r="AT41" s="204">
        <f t="shared" si="46"/>
        <v>8.6114101184069369E-3</v>
      </c>
      <c r="AU41" s="205">
        <f>IFERROR(GETPIVOTDATA("dato",'[1]evolucion mensual nacionali'!$A$4,"indicador","TOTAL","mes",4,"año",2008),"-")</f>
        <v>154022</v>
      </c>
      <c r="AV41" s="206">
        <f t="shared" si="47"/>
        <v>-4.3288134119298549E-2</v>
      </c>
    </row>
    <row r="42" spans="2:48" ht="15" hidden="1" customHeight="1" outlineLevel="1">
      <c r="B42" s="51" t="s">
        <v>46</v>
      </c>
      <c r="C42" s="203">
        <f>IFERROR(GETPIVOTDATA("dato",'[1]evolucion mensual nacionali'!$A$4,"indicador","España","mes",3,"año",2008),"-")</f>
        <v>27131</v>
      </c>
      <c r="D42" s="204">
        <f t="shared" si="25"/>
        <v>0.58512502921243281</v>
      </c>
      <c r="E42" s="203">
        <f>IFERROR(GETPIVOTDATA("dato",'[1]evolucion mensual nacionali'!$A$4,"indicador","HOLANDA","mes",3,"año",2008),"-")</f>
        <v>6610</v>
      </c>
      <c r="F42" s="204">
        <f t="shared" si="26"/>
        <v>0.11410753413113106</v>
      </c>
      <c r="G42" s="203">
        <f>IFERROR(GETPIVOTDATA("dato",'[1]evolucion mensual nacionali'!$A$4,"indicador","BÉLGICA","mes",3,"año",2008),"-")</f>
        <v>6819</v>
      </c>
      <c r="H42" s="204">
        <f t="shared" si="27"/>
        <v>0.25234159779614318</v>
      </c>
      <c r="I42" s="203">
        <f>IFERROR(GETPIVOTDATA("dato",'[1]evolucion mensual nacionali'!$A$4,"indicador","ALEMANIA","mes",3,"año",2008),"-")</f>
        <v>30269</v>
      </c>
      <c r="J42" s="204">
        <f t="shared" si="28"/>
        <v>0.10543422686436354</v>
      </c>
      <c r="K42" s="203">
        <f>IFERROR(GETPIVOTDATA("dato",'[1]evolucion mensual nacionali'!$A$4,"indicador","FRANCIA","mes",3,"año",2008),"-")</f>
        <v>4323</v>
      </c>
      <c r="L42" s="204">
        <f t="shared" si="29"/>
        <v>-8.0212765957446863E-2</v>
      </c>
      <c r="M42" s="203">
        <f>IFERROR(GETPIVOTDATA("dato",'[1]evolucion mensual nacionali'!$A$4,"indicador","REINO UNIDO","mes",3,"año",2008),"-")</f>
        <v>64355</v>
      </c>
      <c r="N42" s="204">
        <f t="shared" si="30"/>
        <v>-0.14807852689268075</v>
      </c>
      <c r="O42" s="203">
        <f>IFERROR(GETPIVOTDATA("dato",'[1]evolucion mensual nacionali'!$A$4,"indicador","IRLANDA","mes",3,"año",2008),"-")</f>
        <v>2997</v>
      </c>
      <c r="P42" s="204">
        <f t="shared" si="31"/>
        <v>0.94232015554115356</v>
      </c>
      <c r="Q42" s="203">
        <f>IFERROR(GETPIVOTDATA("dato",'[1]evolucion mensual nacionali'!$A$4,"indicador","ITALIA","mes",3,"año",2008),"-")</f>
        <v>3059</v>
      </c>
      <c r="R42" s="204">
        <f t="shared" si="32"/>
        <v>-0.30477272727272731</v>
      </c>
      <c r="S42" s="203">
        <f t="shared" si="50"/>
        <v>22710</v>
      </c>
      <c r="T42" s="204">
        <f t="shared" si="33"/>
        <v>0.14841972187104924</v>
      </c>
      <c r="U42" s="203">
        <f>IFERROR(GETPIVOTDATA("dato",'[1]evolucion mensual nacionali'!$A$4,"indicador","SUECIA","mes",3,"año",2008),"-")</f>
        <v>6459</v>
      </c>
      <c r="V42" s="204">
        <f t="shared" si="34"/>
        <v>2.9815051020408267E-2</v>
      </c>
      <c r="W42" s="203">
        <f>IFERROR(GETPIVOTDATA("dato",'[1]evolucion mensual nacionali'!$A$4,"indicador","NORUEGA","mes",3,"año",2008),"-")</f>
        <v>4209</v>
      </c>
      <c r="X42" s="204">
        <f t="shared" si="35"/>
        <v>0.14999999999999991</v>
      </c>
      <c r="Y42" s="203">
        <f>IFERROR(GETPIVOTDATA("dato",'[1]evolucion mensual nacionali'!$A$4,"indicador","DINAMARCA","mes",3,"año",2008),"-")</f>
        <v>8195</v>
      </c>
      <c r="Z42" s="204">
        <f t="shared" si="36"/>
        <v>0.33035714285714279</v>
      </c>
      <c r="AA42" s="203">
        <f>IFERROR(GETPIVOTDATA("dato",'[1]evolucion mensual nacionali'!$A$4,"indicador","FINLANDIA","mes",3,"año",2008),"-")</f>
        <v>3847</v>
      </c>
      <c r="AB42" s="204">
        <f t="shared" si="37"/>
        <v>4.4528916644040129E-2</v>
      </c>
      <c r="AC42" s="203">
        <f>IFERROR(GETPIVOTDATA("dato",'[1]evolucion mensual nacionali'!$A$4,"indicador","SUIZA","mes",3,"año",2008),"-")</f>
        <v>786</v>
      </c>
      <c r="AD42" s="204">
        <f t="shared" si="38"/>
        <v>-8.8272383354350836E-3</v>
      </c>
      <c r="AE42" s="203">
        <f>IFERROR(GETPIVOTDATA("dato",'[1]evolucion mensual nacionali'!$A$4,"indicador","AUSTRIA","mes",3,"año",2008),"-")</f>
        <v>1219</v>
      </c>
      <c r="AF42" s="204">
        <f t="shared" si="39"/>
        <v>-8.8938714499252614E-2</v>
      </c>
      <c r="AG42" s="203">
        <f>IFERROR(GETPIVOTDATA("dato",'[1]evolucion mensual nacionali'!$A$4,"indicador","RUSIA","mes",3,"año",2008),"-")</f>
        <v>3466</v>
      </c>
      <c r="AH42" s="204">
        <f t="shared" si="40"/>
        <v>9.8573692551505498E-2</v>
      </c>
      <c r="AI42" s="203">
        <f>IFERROR(GETPIVOTDATA("dato",'[1]evolucion mensual nacionali'!$A$4,"indicador","PAÍSES DEL ESTE","mes",3,"año",2008),"-")</f>
        <v>3522</v>
      </c>
      <c r="AJ42" s="204">
        <f t="shared" si="41"/>
        <v>0.2673623605613531</v>
      </c>
      <c r="AK42" s="203">
        <f>IFERROR(GETPIVOTDATA("dato",'[1]evolucion mensual nacionali'!$A$4,"indicador","RESTO DE EUROPA","mes",3,"año",2008),"-")</f>
        <v>4488</v>
      </c>
      <c r="AL42" s="204">
        <f t="shared" si="42"/>
        <v>0.75862068965517238</v>
      </c>
      <c r="AM42" s="203">
        <f>IFERROR(GETPIVOTDATA("dato",'[1]evolucion mensual nacionali'!$A$4,"indicador","USA","mes",3,"año",2008),"-")</f>
        <v>417</v>
      </c>
      <c r="AN42" s="204">
        <f t="shared" si="43"/>
        <v>-0.22920517560073939</v>
      </c>
      <c r="AO42" s="203">
        <f>IFERROR(GETPIVOTDATA("dato",'[1]evolucion mensual nacionali'!$A$4,"indicador","RESTO DE AMÉRICA","mes",3,"año",2008),"-")</f>
        <v>130</v>
      </c>
      <c r="AP42" s="204">
        <f t="shared" si="44"/>
        <v>-0.48207171314741037</v>
      </c>
      <c r="AQ42" s="203">
        <f>IFERROR(GETPIVOTDATA("dato",'[1]evolucion mensual nacionali'!$A$4,"indicador","RESTO DEL MUNDO","mes",3,"año",2008),"-")</f>
        <v>1146</v>
      </c>
      <c r="AR42" s="204">
        <f t="shared" si="45"/>
        <v>3.5230352303523116E-2</v>
      </c>
      <c r="AS42" s="203">
        <f t="shared" si="51"/>
        <v>156316</v>
      </c>
      <c r="AT42" s="204">
        <f t="shared" si="46"/>
        <v>-5.8447546665818528E-3</v>
      </c>
      <c r="AU42" s="205">
        <f>IFERROR(GETPIVOTDATA("dato",'[1]evolucion mensual nacionali'!$A$4,"indicador","TOTAL","mes",3,"año",2008),"-")</f>
        <v>183447</v>
      </c>
      <c r="AV42" s="206">
        <f t="shared" si="47"/>
        <v>5.2170621332828571E-2</v>
      </c>
    </row>
    <row r="43" spans="2:48" ht="15" hidden="1" customHeight="1" outlineLevel="1">
      <c r="B43" s="51" t="s">
        <v>47</v>
      </c>
      <c r="C43" s="203">
        <f>IFERROR(GETPIVOTDATA("dato",'[1]evolucion mensual nacionali'!$A$4,"indicador","España","mes",2,"año",2008),"-")</f>
        <v>16732</v>
      </c>
      <c r="D43" s="204">
        <f t="shared" si="25"/>
        <v>1.5563270681191455E-3</v>
      </c>
      <c r="E43" s="203">
        <f>IFERROR(GETPIVOTDATA("dato",'[1]evolucion mensual nacionali'!$A$4,"indicador","HOLANDA","mes",2,"año",2008),"-")</f>
        <v>8233</v>
      </c>
      <c r="F43" s="204">
        <f t="shared" si="26"/>
        <v>0.44743319268635728</v>
      </c>
      <c r="G43" s="203">
        <f>IFERROR(GETPIVOTDATA("dato",'[1]evolucion mensual nacionali'!$A$4,"indicador","BÉLGICA","mes",2,"año",2008),"-")</f>
        <v>5945</v>
      </c>
      <c r="H43" s="204">
        <f t="shared" si="27"/>
        <v>7.3492235464066358E-2</v>
      </c>
      <c r="I43" s="203">
        <f>IFERROR(GETPIVOTDATA("dato",'[1]evolucion mensual nacionali'!$A$4,"indicador","ALEMANIA","mes",2,"año",2008),"-")</f>
        <v>22634</v>
      </c>
      <c r="J43" s="204">
        <f t="shared" si="28"/>
        <v>9.9538498906971196E-2</v>
      </c>
      <c r="K43" s="203">
        <f>IFERROR(GETPIVOTDATA("dato",'[1]evolucion mensual nacionali'!$A$4,"indicador","FRANCIA","mes",2,"año",2008),"-")</f>
        <v>5584</v>
      </c>
      <c r="L43" s="204">
        <f t="shared" si="29"/>
        <v>0.26851431167651074</v>
      </c>
      <c r="M43" s="203">
        <f>IFERROR(GETPIVOTDATA("dato",'[1]evolucion mensual nacionali'!$A$4,"indicador","REINO UNIDO","mes",2,"año",2008),"-")</f>
        <v>69161</v>
      </c>
      <c r="N43" s="204">
        <f t="shared" si="30"/>
        <v>0.10687707056319318</v>
      </c>
      <c r="O43" s="203">
        <f>IFERROR(GETPIVOTDATA("dato",'[1]evolucion mensual nacionali'!$A$4,"indicador","IRLANDA","mes",2,"año",2008),"-")</f>
        <v>2353</v>
      </c>
      <c r="P43" s="204">
        <f t="shared" si="31"/>
        <v>0.81979891724671305</v>
      </c>
      <c r="Q43" s="203">
        <f>IFERROR(GETPIVOTDATA("dato",'[1]evolucion mensual nacionali'!$A$4,"indicador","ITALIA","mes",2,"año",2008),"-")</f>
        <v>3585</v>
      </c>
      <c r="R43" s="204">
        <f t="shared" si="32"/>
        <v>-0.26717089125102211</v>
      </c>
      <c r="S43" s="203">
        <f t="shared" si="50"/>
        <v>19069</v>
      </c>
      <c r="T43" s="204">
        <f t="shared" si="33"/>
        <v>-2.5600408788962747E-2</v>
      </c>
      <c r="U43" s="203">
        <f>IFERROR(GETPIVOTDATA("dato",'[1]evolucion mensual nacionali'!$A$4,"indicador","SUECIA","mes",2,"año",2008),"-")</f>
        <v>4903</v>
      </c>
      <c r="V43" s="204">
        <f t="shared" si="34"/>
        <v>-0.20341186027619818</v>
      </c>
      <c r="W43" s="203">
        <f>IFERROR(GETPIVOTDATA("dato",'[1]evolucion mensual nacionali'!$A$4,"indicador","NORUEGA","mes",2,"año",2008),"-")</f>
        <v>3620</v>
      </c>
      <c r="X43" s="204">
        <f t="shared" si="35"/>
        <v>7.5460487225193162E-2</v>
      </c>
      <c r="Y43" s="203">
        <f>IFERROR(GETPIVOTDATA("dato",'[1]evolucion mensual nacionali'!$A$4,"indicador","DINAMARCA","mes",2,"año",2008),"-")</f>
        <v>6746</v>
      </c>
      <c r="Z43" s="204">
        <f t="shared" si="36"/>
        <v>8.334671591456555E-2</v>
      </c>
      <c r="AA43" s="203">
        <f>IFERROR(GETPIVOTDATA("dato",'[1]evolucion mensual nacionali'!$A$4,"indicador","FINLANDIA","mes",2,"año",2008),"-")</f>
        <v>3800</v>
      </c>
      <c r="AB43" s="204">
        <f t="shared" si="37"/>
        <v>-5.7561486132914341E-3</v>
      </c>
      <c r="AC43" s="203">
        <f>IFERROR(GETPIVOTDATA("dato",'[1]evolucion mensual nacionali'!$A$4,"indicador","SUIZA","mes",2,"año",2008),"-")</f>
        <v>783</v>
      </c>
      <c r="AD43" s="204">
        <f t="shared" si="38"/>
        <v>6.3858695652173836E-2</v>
      </c>
      <c r="AE43" s="203">
        <f>IFERROR(GETPIVOTDATA("dato",'[1]evolucion mensual nacionali'!$A$4,"indicador","AUSTRIA","mes",2,"año",2008),"-")</f>
        <v>1409</v>
      </c>
      <c r="AF43" s="204">
        <f t="shared" si="39"/>
        <v>0.15302782324058928</v>
      </c>
      <c r="AG43" s="203">
        <f>IFERROR(GETPIVOTDATA("dato",'[1]evolucion mensual nacionali'!$A$4,"indicador","RUSIA","mes",2,"año",2008),"-")</f>
        <v>3250</v>
      </c>
      <c r="AH43" s="204">
        <f t="shared" si="40"/>
        <v>0.50812064965197212</v>
      </c>
      <c r="AI43" s="203">
        <f>IFERROR(GETPIVOTDATA("dato",'[1]evolucion mensual nacionali'!$A$4,"indicador","PAÍSES DEL ESTE","mes",2,"año",2008),"-")</f>
        <v>3473</v>
      </c>
      <c r="AJ43" s="204">
        <f t="shared" si="41"/>
        <v>0.41466395112016285</v>
      </c>
      <c r="AK43" s="203">
        <f>IFERROR(GETPIVOTDATA("dato",'[1]evolucion mensual nacionali'!$A$4,"indicador","RESTO DE EUROPA","mes",2,"año",2008),"-")</f>
        <v>4917</v>
      </c>
      <c r="AL43" s="204">
        <f t="shared" si="42"/>
        <v>1.0668348045397225</v>
      </c>
      <c r="AM43" s="203">
        <f>IFERROR(GETPIVOTDATA("dato",'[1]evolucion mensual nacionali'!$A$4,"indicador","USA","mes",2,"año",2008),"-")</f>
        <v>230</v>
      </c>
      <c r="AN43" s="204">
        <f t="shared" si="43"/>
        <v>-0.22818791946308725</v>
      </c>
      <c r="AO43" s="203">
        <f>IFERROR(GETPIVOTDATA("dato",'[1]evolucion mensual nacionali'!$A$4,"indicador","RESTO DE AMÉRICA","mes",2,"año",2008),"-")</f>
        <v>132</v>
      </c>
      <c r="AP43" s="204">
        <f t="shared" si="44"/>
        <v>-0.37142857142857144</v>
      </c>
      <c r="AQ43" s="203">
        <f>IFERROR(GETPIVOTDATA("dato",'[1]evolucion mensual nacionali'!$A$4,"indicador","RESTO DEL MUNDO","mes",2,"año",2008),"-")</f>
        <v>764</v>
      </c>
      <c r="AR43" s="204">
        <f t="shared" si="45"/>
        <v>-4.3804755944931162E-2</v>
      </c>
      <c r="AS43" s="203">
        <f t="shared" si="51"/>
        <v>151522</v>
      </c>
      <c r="AT43" s="204">
        <f t="shared" si="46"/>
        <v>0.12484317582866256</v>
      </c>
      <c r="AU43" s="205">
        <f>IFERROR(GETPIVOTDATA("dato",'[1]evolucion mensual nacionali'!$A$4,"indicador","TOTAL","mes",2,"año",2008),"-")</f>
        <v>168254</v>
      </c>
      <c r="AV43" s="206">
        <f t="shared" si="47"/>
        <v>0.11124026655923291</v>
      </c>
    </row>
    <row r="44" spans="2:48" ht="15" hidden="1" customHeight="1" outlineLevel="1">
      <c r="B44" s="51" t="s">
        <v>48</v>
      </c>
      <c r="C44" s="203">
        <f>IFERROR(GETPIVOTDATA("dato",'[1]evolucion mensual nacionali'!$A$4,"indicador","España","mes",1,"año",2008),"-")</f>
        <v>14341</v>
      </c>
      <c r="D44" s="204">
        <f t="shared" si="25"/>
        <v>2.1365999572680039E-2</v>
      </c>
      <c r="E44" s="203">
        <f>IFERROR(GETPIVOTDATA("dato",'[1]evolucion mensual nacionali'!$A$4,"indicador","HOLANDA","mes",1,"año",2008),"-")</f>
        <v>5075</v>
      </c>
      <c r="F44" s="204">
        <f t="shared" si="26"/>
        <v>0.10614646904969494</v>
      </c>
      <c r="G44" s="203">
        <f>IFERROR(GETPIVOTDATA("dato",'[1]evolucion mensual nacionali'!$A$4,"indicador","BÉLGICA","mes",1,"año",2008),"-")</f>
        <v>5586</v>
      </c>
      <c r="H44" s="204">
        <f t="shared" si="27"/>
        <v>3.5932446999640266E-3</v>
      </c>
      <c r="I44" s="203">
        <f>IFERROR(GETPIVOTDATA("dato",'[1]evolucion mensual nacionali'!$A$4,"indicador","ALEMANIA","mes",1,"año",2008),"-")</f>
        <v>21821</v>
      </c>
      <c r="J44" s="204">
        <f t="shared" si="28"/>
        <v>8.3196823033010681E-2</v>
      </c>
      <c r="K44" s="203">
        <f>IFERROR(GETPIVOTDATA("dato",'[1]evolucion mensual nacionali'!$A$4,"indicador","FRANCIA","mes",1,"año",2008),"-")</f>
        <v>4141</v>
      </c>
      <c r="L44" s="204">
        <f t="shared" si="29"/>
        <v>0.23648850403105404</v>
      </c>
      <c r="M44" s="203">
        <f>IFERROR(GETPIVOTDATA("dato",'[1]evolucion mensual nacionali'!$A$4,"indicador","REINO UNIDO","mes",1,"año",2008),"-")</f>
        <v>54908</v>
      </c>
      <c r="N44" s="204">
        <f t="shared" si="30"/>
        <v>-6.1946902654867242E-2</v>
      </c>
      <c r="O44" s="203">
        <f>IFERROR(GETPIVOTDATA("dato",'[1]evolucion mensual nacionali'!$A$4,"indicador","IRLANDA","mes",1,"año",2008),"-")</f>
        <v>2498</v>
      </c>
      <c r="P44" s="204">
        <f t="shared" si="31"/>
        <v>1.0886287625418061</v>
      </c>
      <c r="Q44" s="203">
        <f>IFERROR(GETPIVOTDATA("dato",'[1]evolucion mensual nacionali'!$A$4,"indicador","ITALIA","mes",1,"año",2008),"-")</f>
        <v>4693</v>
      </c>
      <c r="R44" s="204">
        <f t="shared" si="32"/>
        <v>-0.35358126721763083</v>
      </c>
      <c r="S44" s="203">
        <f t="shared" si="50"/>
        <v>17933</v>
      </c>
      <c r="T44" s="204">
        <f t="shared" si="33"/>
        <v>-4.3011900314851359E-2</v>
      </c>
      <c r="U44" s="203">
        <f>IFERROR(GETPIVOTDATA("dato",'[1]evolucion mensual nacionali'!$A$4,"indicador","SUECIA","mes",1,"año",2008),"-")</f>
        <v>5160</v>
      </c>
      <c r="V44" s="204">
        <f t="shared" si="34"/>
        <v>-9.1229306093694951E-2</v>
      </c>
      <c r="W44" s="203">
        <f>IFERROR(GETPIVOTDATA("dato",'[1]evolucion mensual nacionali'!$A$4,"indicador","NORUEGA","mes",1,"año",2008),"-")</f>
        <v>3278</v>
      </c>
      <c r="X44" s="204">
        <f t="shared" si="35"/>
        <v>0.11953551912568305</v>
      </c>
      <c r="Y44" s="203">
        <f>IFERROR(GETPIVOTDATA("dato",'[1]evolucion mensual nacionali'!$A$4,"indicador","DINAMARCA","mes",1,"año",2008),"-")</f>
        <v>6238</v>
      </c>
      <c r="Z44" s="204">
        <f t="shared" si="36"/>
        <v>-1.4378258808658506E-2</v>
      </c>
      <c r="AA44" s="203">
        <f>IFERROR(GETPIVOTDATA("dato",'[1]evolucion mensual nacionali'!$A$4,"indicador","FINLANDIA","mes",1,"año",2008),"-")</f>
        <v>3257</v>
      </c>
      <c r="AB44" s="204">
        <f t="shared" si="37"/>
        <v>-0.14379600420609884</v>
      </c>
      <c r="AC44" s="203">
        <f>IFERROR(GETPIVOTDATA("dato",'[1]evolucion mensual nacionali'!$A$4,"indicador","SUIZA","mes",1,"año",2008),"-")</f>
        <v>598</v>
      </c>
      <c r="AD44" s="204">
        <f t="shared" si="38"/>
        <v>-0.24399494310998737</v>
      </c>
      <c r="AE44" s="203">
        <f>IFERROR(GETPIVOTDATA("dato",'[1]evolucion mensual nacionali'!$A$4,"indicador","AUSTRIA","mes",1,"año",2008),"-")</f>
        <v>1279</v>
      </c>
      <c r="AF44" s="204">
        <f t="shared" si="39"/>
        <v>-0.1629581151832461</v>
      </c>
      <c r="AG44" s="203">
        <f>IFERROR(GETPIVOTDATA("dato",'[1]evolucion mensual nacionali'!$A$4,"indicador","RUSIA","mes",1,"año",2008),"-")</f>
        <v>4872</v>
      </c>
      <c r="AH44" s="204">
        <f t="shared" si="40"/>
        <v>0.36165455561766358</v>
      </c>
      <c r="AI44" s="203">
        <f>IFERROR(GETPIVOTDATA("dato",'[1]evolucion mensual nacionali'!$A$4,"indicador","PAÍSES DEL ESTE","mes",1,"año",2008),"-")</f>
        <v>3428</v>
      </c>
      <c r="AJ44" s="204">
        <f t="shared" si="41"/>
        <v>5.5743763473975916E-2</v>
      </c>
      <c r="AK44" s="203">
        <f>IFERROR(GETPIVOTDATA("dato",'[1]evolucion mensual nacionali'!$A$4,"indicador","RESTO DE EUROPA","mes",1,"año",2008),"-")</f>
        <v>5036</v>
      </c>
      <c r="AL44" s="204">
        <f t="shared" si="42"/>
        <v>1.028191703584374</v>
      </c>
      <c r="AM44" s="203">
        <f>IFERROR(GETPIVOTDATA("dato",'[1]evolucion mensual nacionali'!$A$4,"indicador","USA","mes",1,"año",2008),"-")</f>
        <v>192</v>
      </c>
      <c r="AN44" s="204">
        <f t="shared" si="43"/>
        <v>-0.2992700729927007</v>
      </c>
      <c r="AO44" s="203">
        <f>IFERROR(GETPIVOTDATA("dato",'[1]evolucion mensual nacionali'!$A$4,"indicador","RESTO DE AMÉRICA","mes",1,"año",2008),"-")</f>
        <v>204</v>
      </c>
      <c r="AP44" s="204">
        <f t="shared" si="44"/>
        <v>4.6153846153846212E-2</v>
      </c>
      <c r="AQ44" s="203">
        <f>IFERROR(GETPIVOTDATA("dato",'[1]evolucion mensual nacionali'!$A$4,"indicador","RESTO DEL MUNDO","mes",1,"año",2008),"-")</f>
        <v>526</v>
      </c>
      <c r="AR44" s="204">
        <f t="shared" si="45"/>
        <v>-0.27945205479452051</v>
      </c>
      <c r="AS44" s="203">
        <f t="shared" si="51"/>
        <v>132790</v>
      </c>
      <c r="AT44" s="204">
        <f t="shared" si="46"/>
        <v>4.440141297852529E-3</v>
      </c>
      <c r="AU44" s="205">
        <f>IFERROR(GETPIVOTDATA("dato",'[1]evolucion mensual nacionali'!$A$4,"indicador","TOTAL","mes",1,"año",2008),"-")</f>
        <v>147131</v>
      </c>
      <c r="AV44" s="206">
        <f t="shared" si="47"/>
        <v>6.0652060939252461E-3</v>
      </c>
    </row>
    <row r="45" spans="2:48" collapsed="1">
      <c r="B45" s="215">
        <v>2008</v>
      </c>
      <c r="C45" s="216">
        <f>GETPIVOTDATA("dato",'[1]evolucion mensual nacionali'!$A$4,"indicador","España","año",2008)</f>
        <v>377370</v>
      </c>
      <c r="D45" s="217">
        <f t="shared" si="25"/>
        <v>6.3535366630404821E-2</v>
      </c>
      <c r="E45" s="216">
        <f>GETPIVOTDATA("dato",'[1]evolucion mensual nacionali'!$A$4,"indicador","HOLANDA","año",2008)</f>
        <v>74529</v>
      </c>
      <c r="F45" s="217">
        <f t="shared" si="26"/>
        <v>0.11633863575087622</v>
      </c>
      <c r="G45" s="216">
        <f>GETPIVOTDATA("dato",'[1]evolucion mensual nacionali'!$A$4,"indicador","BÉLGICA","año",2008)</f>
        <v>58340</v>
      </c>
      <c r="H45" s="217">
        <f t="shared" si="27"/>
        <v>-0.10197798814746406</v>
      </c>
      <c r="I45" s="216">
        <f>GETPIVOTDATA("dato",'[1]evolucion mensual nacionali'!$A$4,"indicador","ALEMANIA","año",2008)</f>
        <v>269276</v>
      </c>
      <c r="J45" s="217">
        <f t="shared" si="28"/>
        <v>1.9706746644854389E-2</v>
      </c>
      <c r="K45" s="216">
        <f>GETPIVOTDATA("dato",'[1]evolucion mensual nacionali'!$A$4,"indicador","FRANCIA","año",2008)</f>
        <v>46070</v>
      </c>
      <c r="L45" s="217">
        <f t="shared" si="29"/>
        <v>0.1302747791952894</v>
      </c>
      <c r="M45" s="216">
        <f>GETPIVOTDATA("dato",'[1]evolucion mensual nacionali'!$A$4,"indicador","REINO UNIDO","año",2008)</f>
        <v>671260</v>
      </c>
      <c r="N45" s="217">
        <f t="shared" si="30"/>
        <v>-4.6928065970762933E-2</v>
      </c>
      <c r="O45" s="216">
        <f>GETPIVOTDATA("dato",'[1]evolucion mensual nacionali'!$A$4,"indicador","IRLANDA","año",2008)</f>
        <v>33097</v>
      </c>
      <c r="P45" s="217">
        <f t="shared" si="31"/>
        <v>0.84025576869613561</v>
      </c>
      <c r="Q45" s="216">
        <f>GETPIVOTDATA("dato",'[1]evolucion mensual nacionali'!$A$4,"indicador","ITALIA","año",2008)</f>
        <v>40775</v>
      </c>
      <c r="R45" s="217">
        <f t="shared" si="32"/>
        <v>-0.250059774512148</v>
      </c>
      <c r="S45" s="216">
        <f t="shared" si="50"/>
        <v>126525</v>
      </c>
      <c r="T45" s="217">
        <f t="shared" si="33"/>
        <v>-8.5568537107125753E-3</v>
      </c>
      <c r="U45" s="216">
        <f>GETPIVOTDATA("dato",'[1]evolucion mensual nacionali'!$A$4,"indicador","SUECIA","año",2008)</f>
        <v>36718</v>
      </c>
      <c r="V45" s="217">
        <f t="shared" si="34"/>
        <v>-8.7252659838918167E-2</v>
      </c>
      <c r="W45" s="216">
        <f>GETPIVOTDATA("dato",'[1]evolucion mensual nacionali'!$A$4,"indicador","NORUEGA","año",2008)</f>
        <v>24887</v>
      </c>
      <c r="X45" s="217">
        <f t="shared" si="35"/>
        <v>6.5140166916327846E-2</v>
      </c>
      <c r="Y45" s="216">
        <f>GETPIVOTDATA("dato",'[1]evolucion mensual nacionali'!$A$4,"indicador","DINAMARCA","año",2008)</f>
        <v>44370</v>
      </c>
      <c r="Z45" s="217">
        <f t="shared" si="36"/>
        <v>0.11412429378531064</v>
      </c>
      <c r="AA45" s="216">
        <f>GETPIVOTDATA("dato",'[1]evolucion mensual nacionali'!$A$4,"indicador","FINLANDIA","año",2008)</f>
        <v>20550</v>
      </c>
      <c r="AB45" s="217">
        <f t="shared" si="37"/>
        <v>-0.15079135501467</v>
      </c>
      <c r="AC45" s="216">
        <f>GETPIVOTDATA("dato",'[1]evolucion mensual nacionali'!$A$4,"indicador","SUIZA","año",2008)</f>
        <v>11573</v>
      </c>
      <c r="AD45" s="217">
        <f t="shared" si="38"/>
        <v>5.7474415204678442E-2</v>
      </c>
      <c r="AE45" s="216">
        <f>GETPIVOTDATA("dato",'[1]evolucion mensual nacionali'!$A$4,"indicador","AUSTRIA","año",2008)</f>
        <v>12816</v>
      </c>
      <c r="AF45" s="217">
        <f t="shared" si="39"/>
        <v>-0.11503935920452979</v>
      </c>
      <c r="AG45" s="216">
        <f>GETPIVOTDATA("dato",'[1]evolucion mensual nacionali'!$A$4,"indicador","RUSIA","año",2008)</f>
        <v>58680</v>
      </c>
      <c r="AH45" s="217">
        <f t="shared" si="40"/>
        <v>0.22105000312129341</v>
      </c>
      <c r="AI45" s="216">
        <f>GETPIVOTDATA("dato",'[1]evolucion mensual nacionali'!$A$4,"indicador","PAÍSES DEL ESTE","año",2008)</f>
        <v>44843</v>
      </c>
      <c r="AJ45" s="217">
        <f t="shared" si="41"/>
        <v>0.16257907290262374</v>
      </c>
      <c r="AK45" s="216">
        <f>GETPIVOTDATA("dato",'[1]evolucion mensual nacionali'!$A$4,"indicador","RESTO DE EUROPA","año",2008)</f>
        <v>52240</v>
      </c>
      <c r="AL45" s="217">
        <f t="shared" si="42"/>
        <v>0.1773190300189309</v>
      </c>
      <c r="AM45" s="216">
        <f>GETPIVOTDATA("dato",'[1]evolucion mensual nacionali'!$A$4,"indicador","USA","año",2008)</f>
        <v>3434</v>
      </c>
      <c r="AN45" s="217">
        <f t="shared" si="43"/>
        <v>-4.5315540728384729E-2</v>
      </c>
      <c r="AO45" s="216">
        <f>GETPIVOTDATA("dato",'[1]evolucion mensual nacionali'!$A$4,"indicador","RESTO DE AMÉRICA","año",2008)</f>
        <v>2280</v>
      </c>
      <c r="AP45" s="217">
        <f t="shared" si="44"/>
        <v>-0.1706074936340487</v>
      </c>
      <c r="AQ45" s="216">
        <f>GETPIVOTDATA("dato",'[1]evolucion mensual nacionali'!$A$4,"indicador","RESTO DEL MUNDO","año",2008)</f>
        <v>7692</v>
      </c>
      <c r="AR45" s="217">
        <f t="shared" si="45"/>
        <v>-0.2101858507033576</v>
      </c>
      <c r="AS45" s="216">
        <f t="shared" si="51"/>
        <v>1513430</v>
      </c>
      <c r="AT45" s="217">
        <f t="shared" si="46"/>
        <v>4.8897946022030681E-5</v>
      </c>
      <c r="AU45" s="213">
        <f>GETPIVOTDATA("dato",'[1]evolucion mensual nacionali'!$A$4,"indicador","TOTAL","año",2008)</f>
        <v>1890800</v>
      </c>
      <c r="AV45" s="214">
        <f t="shared" si="47"/>
        <v>1.2106957459176781E-2</v>
      </c>
    </row>
    <row r="46" spans="2:48" hidden="1" outlineLevel="1">
      <c r="B46" s="51" t="s">
        <v>37</v>
      </c>
      <c r="C46" s="218">
        <f>IFERROR(GETPIVOTDATA("dato",'[1]evolucion mensual nacionali'!$A$4,"indicador","España","mes",12,"año",2007),"-")</f>
        <v>13382</v>
      </c>
      <c r="D46" s="219">
        <f t="shared" si="25"/>
        <v>-0.36327734690964453</v>
      </c>
      <c r="E46" s="218">
        <f>IFERROR(GETPIVOTDATA("dato",'[1]evolucion mensual nacionali'!$A$4,"indicador","HOLANDA","mes",12,"año",2007),"-")</f>
        <v>4827</v>
      </c>
      <c r="F46" s="219">
        <f t="shared" si="26"/>
        <v>5.9714599341383012E-2</v>
      </c>
      <c r="G46" s="218">
        <f>IFERROR(GETPIVOTDATA("dato",'[1]evolucion mensual nacionali'!$A$4,"indicador","BÉLGICA","mes",12,"año",2007),"-")</f>
        <v>6171</v>
      </c>
      <c r="H46" s="219">
        <f t="shared" si="27"/>
        <v>4.8776342624065272E-2</v>
      </c>
      <c r="I46" s="218">
        <f>IFERROR(GETPIVOTDATA("dato",'[1]evolucion mensual nacionali'!$A$4,"indicador","ALEMANIA","mes",12,"año",2007),"-")</f>
        <v>20706</v>
      </c>
      <c r="J46" s="219">
        <f t="shared" si="28"/>
        <v>9.3761555121229634E-2</v>
      </c>
      <c r="K46" s="218">
        <f>IFERROR(GETPIVOTDATA("dato",'[1]evolucion mensual nacionali'!$A$4,"indicador","FRANCIA","mes",12,"año",2007),"-")</f>
        <v>3437</v>
      </c>
      <c r="L46" s="219">
        <f t="shared" si="29"/>
        <v>0.15142378559463987</v>
      </c>
      <c r="M46" s="218">
        <f>IFERROR(GETPIVOTDATA("dato",'[1]evolucion mensual nacionali'!$A$4,"indicador","REINO UNIDO","mes",12,"año",2007),"-")</f>
        <v>61821</v>
      </c>
      <c r="N46" s="219">
        <f t="shared" si="30"/>
        <v>-0.11385528352732066</v>
      </c>
      <c r="O46" s="218">
        <f>IFERROR(GETPIVOTDATA("dato",'[1]evolucion mensual nacionali'!$A$4,"indicador","IRLANDA","mes",12,"año",2007),"-")</f>
        <v>2016</v>
      </c>
      <c r="P46" s="219">
        <f t="shared" si="31"/>
        <v>0.58490566037735858</v>
      </c>
      <c r="Q46" s="218">
        <f>IFERROR(GETPIVOTDATA("dato",'[1]evolucion mensual nacionali'!$A$4,"indicador","ITALIA","mes",12,"año",2007),"-")</f>
        <v>3649</v>
      </c>
      <c r="R46" s="219">
        <f t="shared" si="32"/>
        <v>-0.27742574257425745</v>
      </c>
      <c r="S46" s="218">
        <f>U46+W46+Y46+AA46</f>
        <v>19615</v>
      </c>
      <c r="T46" s="219">
        <f t="shared" si="33"/>
        <v>0.16603257638806324</v>
      </c>
      <c r="U46" s="218">
        <f>IFERROR(GETPIVOTDATA("dato",'[1]evolucion mensual nacionali'!$A$4,"indicador","SUECIA","mes",12,"año",2007),"-")</f>
        <v>5612</v>
      </c>
      <c r="V46" s="219">
        <f t="shared" si="34"/>
        <v>-4.035567715458277E-2</v>
      </c>
      <c r="W46" s="218">
        <f>IFERROR(GETPIVOTDATA("dato",'[1]evolucion mensual nacionali'!$A$4,"indicador","NORUEGA","mes",12,"año",2007),"-")</f>
        <v>3391</v>
      </c>
      <c r="X46" s="219">
        <f t="shared" si="35"/>
        <v>0.35315243415802078</v>
      </c>
      <c r="Y46" s="218">
        <f>IFERROR(GETPIVOTDATA("dato",'[1]evolucion mensual nacionali'!$A$4,"indicador","DINAMARCA","mes",12,"año",2007),"-")</f>
        <v>6721</v>
      </c>
      <c r="Z46" s="219">
        <f t="shared" si="36"/>
        <v>0.38434603501544795</v>
      </c>
      <c r="AA46" s="218">
        <f>IFERROR(GETPIVOTDATA("dato",'[1]evolucion mensual nacionali'!$A$4,"indicador","FINLANDIA","mes",12,"año",2007),"-")</f>
        <v>3891</v>
      </c>
      <c r="AB46" s="219">
        <f t="shared" si="37"/>
        <v>7.6944367561583071E-2</v>
      </c>
      <c r="AC46" s="218">
        <f>IFERROR(GETPIVOTDATA("dato",'[1]evolucion mensual nacionali'!$A$4,"indicador","SUIZA","mes",12,"año",2007),"-")</f>
        <v>792</v>
      </c>
      <c r="AD46" s="219">
        <f t="shared" si="38"/>
        <v>-0.28065395095367851</v>
      </c>
      <c r="AE46" s="218">
        <f>IFERROR(GETPIVOTDATA("dato",'[1]evolucion mensual nacionali'!$A$4,"indicador","AUSTRIA","mes",12,"año",2007),"-")</f>
        <v>982</v>
      </c>
      <c r="AF46" s="219">
        <f t="shared" si="39"/>
        <v>-0.16354344122657583</v>
      </c>
      <c r="AG46" s="218">
        <f>IFERROR(GETPIVOTDATA("dato",'[1]evolucion mensual nacionali'!$A$4,"indicador","RUSIA","mes",12,"año",2007),"-")</f>
        <v>3388</v>
      </c>
      <c r="AH46" s="219">
        <f t="shared" si="40"/>
        <v>-0.1728515625</v>
      </c>
      <c r="AI46" s="218">
        <f>IFERROR(GETPIVOTDATA("dato",'[1]evolucion mensual nacionali'!$A$4,"indicador","PAÍSES DEL ESTE","mes",12,"año",2007),"-")</f>
        <v>3339</v>
      </c>
      <c r="AJ46" s="219">
        <f t="shared" si="41"/>
        <v>0.15496368038740926</v>
      </c>
      <c r="AK46" s="218">
        <f>IFERROR(GETPIVOTDATA("dato",'[1]evolucion mensual nacionali'!$A$4,"indicador","RESTO DE EUROPA","mes",12,"año",2007),"-")</f>
        <v>4076</v>
      </c>
      <c r="AL46" s="219">
        <f t="shared" si="42"/>
        <v>0.46618705035971231</v>
      </c>
      <c r="AM46" s="218">
        <f>IFERROR(GETPIVOTDATA("dato",'[1]evolucion mensual nacionali'!$A$4,"indicador","USA","mes",12,"año",2007),"-")</f>
        <v>224</v>
      </c>
      <c r="AN46" s="219">
        <f t="shared" si="43"/>
        <v>-0.3107692307692308</v>
      </c>
      <c r="AO46" s="218">
        <f>IFERROR(GETPIVOTDATA("dato",'[1]evolucion mensual nacionali'!$A$4,"indicador","RESTO DE AMÉRICA","mes",12,"año",2007),"-")</f>
        <v>225</v>
      </c>
      <c r="AP46" s="219">
        <f t="shared" si="44"/>
        <v>0.2931034482758621</v>
      </c>
      <c r="AQ46" s="218">
        <f>IFERROR(GETPIVOTDATA("dato",'[1]evolucion mensual nacionali'!$A$4,"indicador","RESTO DEL MUNDO","mes",12,"año",2007),"-")</f>
        <v>944</v>
      </c>
      <c r="AR46" s="219">
        <f t="shared" si="45"/>
        <v>-8.1712062256809381E-2</v>
      </c>
      <c r="AS46" s="218">
        <f>AU46-C46</f>
        <v>136212</v>
      </c>
      <c r="AT46" s="219">
        <f t="shared" si="46"/>
        <v>-1.8871729860550857E-2</v>
      </c>
      <c r="AU46" s="205">
        <f>IFERROR(GETPIVOTDATA("dato",'[1]evolucion mensual nacionali'!$A$4,"indicador","TOTAL","mes",12,"año",2007),"-")</f>
        <v>149594</v>
      </c>
      <c r="AV46" s="206">
        <f t="shared" si="47"/>
        <v>-6.4154295616488111E-2</v>
      </c>
    </row>
    <row r="47" spans="2:48" hidden="1" outlineLevel="1">
      <c r="B47" s="51" t="s">
        <v>38</v>
      </c>
      <c r="C47" s="218">
        <f>IFERROR(GETPIVOTDATA("dato",'[1]evolucion mensual nacionali'!$A$4,"indicador","España","mes",11,"año",2007),"-")</f>
        <v>16074</v>
      </c>
      <c r="D47" s="219">
        <f t="shared" si="25"/>
        <v>-6.8605863947154955E-2</v>
      </c>
      <c r="E47" s="218">
        <f>IFERROR(GETPIVOTDATA("dato",'[1]evolucion mensual nacionali'!$A$4,"indicador","HOLANDA","mes",11,"año",2007),"-")</f>
        <v>5412</v>
      </c>
      <c r="F47" s="219">
        <f t="shared" si="26"/>
        <v>0.35775213246362259</v>
      </c>
      <c r="G47" s="218">
        <f>IFERROR(GETPIVOTDATA("dato",'[1]evolucion mensual nacionali'!$A$4,"indicador","BÉLGICA","mes",11,"año",2007),"-")</f>
        <v>5229</v>
      </c>
      <c r="H47" s="219">
        <f t="shared" si="27"/>
        <v>0.1233082706766917</v>
      </c>
      <c r="I47" s="218">
        <f>IFERROR(GETPIVOTDATA("dato",'[1]evolucion mensual nacionali'!$A$4,"indicador","ALEMANIA","mes",11,"año",2007),"-")</f>
        <v>26814</v>
      </c>
      <c r="J47" s="219">
        <f t="shared" si="28"/>
        <v>5.3222828862091953E-2</v>
      </c>
      <c r="K47" s="218">
        <f>IFERROR(GETPIVOTDATA("dato",'[1]evolucion mensual nacionali'!$A$4,"indicador","FRANCIA","mes",11,"año",2007),"-")</f>
        <v>2620</v>
      </c>
      <c r="L47" s="219">
        <f t="shared" si="29"/>
        <v>6.20186461289014E-2</v>
      </c>
      <c r="M47" s="218">
        <f>IFERROR(GETPIVOTDATA("dato",'[1]evolucion mensual nacionali'!$A$4,"indicador","REINO UNIDO","mes",11,"año",2007),"-")</f>
        <v>67453</v>
      </c>
      <c r="N47" s="219">
        <f t="shared" si="30"/>
        <v>5.944901677451786E-2</v>
      </c>
      <c r="O47" s="218">
        <f>IFERROR(GETPIVOTDATA("dato",'[1]evolucion mensual nacionali'!$A$4,"indicador","IRLANDA","mes",11,"año",2007),"-")</f>
        <v>1642</v>
      </c>
      <c r="P47" s="219">
        <f t="shared" si="31"/>
        <v>0.40702656383890323</v>
      </c>
      <c r="Q47" s="218">
        <f>IFERROR(GETPIVOTDATA("dato",'[1]evolucion mensual nacionali'!$A$4,"indicador","ITALIA","mes",11,"año",2007),"-")</f>
        <v>2721</v>
      </c>
      <c r="R47" s="219">
        <f t="shared" si="32"/>
        <v>-0.23352112676056336</v>
      </c>
      <c r="S47" s="218">
        <f t="shared" ref="S47:S58" si="52">U47+W47+Y47+AA47</f>
        <v>21330</v>
      </c>
      <c r="T47" s="219">
        <f t="shared" si="33"/>
        <v>0.30386942967174035</v>
      </c>
      <c r="U47" s="218">
        <f>IFERROR(GETPIVOTDATA("dato",'[1]evolucion mensual nacionali'!$A$4,"indicador","SUECIA","mes",11,"año",2007),"-")</f>
        <v>6829</v>
      </c>
      <c r="V47" s="219">
        <f t="shared" si="34"/>
        <v>8.4829229547259688E-2</v>
      </c>
      <c r="W47" s="218">
        <f>IFERROR(GETPIVOTDATA("dato",'[1]evolucion mensual nacionali'!$A$4,"indicador","NORUEGA","mes",11,"año",2007),"-")</f>
        <v>4692</v>
      </c>
      <c r="X47" s="219">
        <f t="shared" si="35"/>
        <v>0.36633663366336644</v>
      </c>
      <c r="Y47" s="218">
        <f>IFERROR(GETPIVOTDATA("dato",'[1]evolucion mensual nacionali'!$A$4,"indicador","DINAMARCA","mes",11,"año",2007),"-")</f>
        <v>5402</v>
      </c>
      <c r="Z47" s="219">
        <f t="shared" si="36"/>
        <v>0.4455445544554455</v>
      </c>
      <c r="AA47" s="218">
        <f>IFERROR(GETPIVOTDATA("dato",'[1]evolucion mensual nacionali'!$A$4,"indicador","FINLANDIA","mes",11,"año",2007),"-")</f>
        <v>4407</v>
      </c>
      <c r="AB47" s="219">
        <f t="shared" si="37"/>
        <v>0.52333218112685786</v>
      </c>
      <c r="AC47" s="218">
        <f>IFERROR(GETPIVOTDATA("dato",'[1]evolucion mensual nacionali'!$A$4,"indicador","SUIZA","mes",11,"año",2007),"-")</f>
        <v>998</v>
      </c>
      <c r="AD47" s="219">
        <f t="shared" si="38"/>
        <v>-0.1990369181380417</v>
      </c>
      <c r="AE47" s="218">
        <f>IFERROR(GETPIVOTDATA("dato",'[1]evolucion mensual nacionali'!$A$4,"indicador","AUSTRIA","mes",11,"año",2007),"-")</f>
        <v>1725</v>
      </c>
      <c r="AF47" s="219">
        <f t="shared" si="39"/>
        <v>9.6630642085187457E-2</v>
      </c>
      <c r="AG47" s="218">
        <f>IFERROR(GETPIVOTDATA("dato",'[1]evolucion mensual nacionali'!$A$4,"indicador","RUSIA","mes",11,"año",2007),"-")</f>
        <v>4903</v>
      </c>
      <c r="AH47" s="219">
        <f t="shared" si="40"/>
        <v>0.37454443509952351</v>
      </c>
      <c r="AI47" s="218">
        <f>IFERROR(GETPIVOTDATA("dato",'[1]evolucion mensual nacionali'!$A$4,"indicador","PAÍSES DEL ESTE","mes",11,"año",2007),"-")</f>
        <v>3790</v>
      </c>
      <c r="AJ47" s="219">
        <f t="shared" si="41"/>
        <v>-7.6735688185140094E-2</v>
      </c>
      <c r="AK47" s="218">
        <f>IFERROR(GETPIVOTDATA("dato",'[1]evolucion mensual nacionali'!$A$4,"indicador","RESTO DE EUROPA","mes",11,"año",2007),"-")</f>
        <v>4159</v>
      </c>
      <c r="AL47" s="219">
        <f t="shared" si="42"/>
        <v>1.0327468230694037</v>
      </c>
      <c r="AM47" s="218">
        <f>IFERROR(GETPIVOTDATA("dato",'[1]evolucion mensual nacionali'!$A$4,"indicador","USA","mes",11,"año",2007),"-")</f>
        <v>196</v>
      </c>
      <c r="AN47" s="219">
        <f t="shared" si="43"/>
        <v>-0.36774193548387102</v>
      </c>
      <c r="AO47" s="218">
        <f>IFERROR(GETPIVOTDATA("dato",'[1]evolucion mensual nacionali'!$A$4,"indicador","RESTO DE AMÉRICA","mes",11,"año",2007),"-")</f>
        <v>147</v>
      </c>
      <c r="AP47" s="219">
        <f t="shared" si="44"/>
        <v>0.12213740458015265</v>
      </c>
      <c r="AQ47" s="218">
        <f>IFERROR(GETPIVOTDATA("dato",'[1]evolucion mensual nacionali'!$A$4,"indicador","RESTO DEL MUNDO","mes",11,"año",2007),"-")</f>
        <v>563</v>
      </c>
      <c r="AR47" s="219">
        <f t="shared" si="45"/>
        <v>-0.22770919067215367</v>
      </c>
      <c r="AS47" s="218">
        <f t="shared" ref="AS47:AS58" si="53">AU47-C47</f>
        <v>149702</v>
      </c>
      <c r="AT47" s="219">
        <f t="shared" si="46"/>
        <v>0.10875586958775862</v>
      </c>
      <c r="AU47" s="205">
        <f>IFERROR(GETPIVOTDATA("dato",'[1]evolucion mensual nacionali'!$A$4,"indicador","TOTAL","mes",11,"año",2007),"-")</f>
        <v>165776</v>
      </c>
      <c r="AV47" s="206">
        <f t="shared" si="47"/>
        <v>8.8654811001076972E-2</v>
      </c>
    </row>
    <row r="48" spans="2:48" hidden="1" outlineLevel="1">
      <c r="B48" s="51" t="s">
        <v>39</v>
      </c>
      <c r="C48" s="218">
        <f>IFERROR(GETPIVOTDATA("dato",'[1]evolucion mensual nacionali'!$A$4,"indicador","España","mes",10,"año",2007),"-")</f>
        <v>30008</v>
      </c>
      <c r="D48" s="219">
        <f t="shared" si="25"/>
        <v>4.8937360178970879E-2</v>
      </c>
      <c r="E48" s="218">
        <f>IFERROR(GETPIVOTDATA("dato",'[1]evolucion mensual nacionali'!$A$4,"indicador","HOLANDA","mes",10,"año",2007),"-")</f>
        <v>7744</v>
      </c>
      <c r="F48" s="219">
        <f t="shared" si="26"/>
        <v>-0.1165868126853753</v>
      </c>
      <c r="G48" s="218">
        <f>IFERROR(GETPIVOTDATA("dato",'[1]evolucion mensual nacionali'!$A$4,"indicador","BÉLGICA","mes",10,"año",2007),"-")</f>
        <v>5471</v>
      </c>
      <c r="H48" s="219">
        <f t="shared" si="27"/>
        <v>-5.4605149472956582E-2</v>
      </c>
      <c r="I48" s="218">
        <f>IFERROR(GETPIVOTDATA("dato",'[1]evolucion mensual nacionali'!$A$4,"indicador","ALEMANIA","mes",10,"año",2007),"-")</f>
        <v>22537</v>
      </c>
      <c r="J48" s="219">
        <f t="shared" si="28"/>
        <v>-6.5087530075499833E-2</v>
      </c>
      <c r="K48" s="218">
        <f>IFERROR(GETPIVOTDATA("dato",'[1]evolucion mensual nacionali'!$A$4,"indicador","FRANCIA","mes",10,"año",2007),"-")</f>
        <v>3096</v>
      </c>
      <c r="L48" s="219">
        <f t="shared" si="29"/>
        <v>-0.11870196413321943</v>
      </c>
      <c r="M48" s="218">
        <f>IFERROR(GETPIVOTDATA("dato",'[1]evolucion mensual nacionali'!$A$4,"indicador","REINO UNIDO","mes",10,"año",2007),"-")</f>
        <v>66228</v>
      </c>
      <c r="N48" s="219">
        <f t="shared" si="30"/>
        <v>-0.10501493263422479</v>
      </c>
      <c r="O48" s="218">
        <f>IFERROR(GETPIVOTDATA("dato",'[1]evolucion mensual nacionali'!$A$4,"indicador","IRLANDA","mes",10,"año",2007),"-")</f>
        <v>1675</v>
      </c>
      <c r="P48" s="219">
        <f t="shared" si="31"/>
        <v>-4.7754405912450282E-2</v>
      </c>
      <c r="Q48" s="218">
        <f>IFERROR(GETPIVOTDATA("dato",'[1]evolucion mensual nacionali'!$A$4,"indicador","ITALIA","mes",10,"año",2007),"-")</f>
        <v>2761</v>
      </c>
      <c r="R48" s="219">
        <f t="shared" si="32"/>
        <v>-0.42226407198158611</v>
      </c>
      <c r="S48" s="218">
        <f t="shared" si="52"/>
        <v>14501</v>
      </c>
      <c r="T48" s="219">
        <f t="shared" si="33"/>
        <v>0.2371811278901117</v>
      </c>
      <c r="U48" s="218">
        <f>IFERROR(GETPIVOTDATA("dato",'[1]evolucion mensual nacionali'!$A$4,"indicador","SUECIA","mes",10,"año",2007),"-")</f>
        <v>5213</v>
      </c>
      <c r="V48" s="219">
        <f t="shared" si="34"/>
        <v>0.13474096647801481</v>
      </c>
      <c r="W48" s="218">
        <f>IFERROR(GETPIVOTDATA("dato",'[1]evolucion mensual nacionali'!$A$4,"indicador","NORUEGA","mes",10,"año",2007),"-")</f>
        <v>2782</v>
      </c>
      <c r="X48" s="219">
        <f t="shared" si="35"/>
        <v>0.30794546309355897</v>
      </c>
      <c r="Y48" s="218">
        <f>IFERROR(GETPIVOTDATA("dato",'[1]evolucion mensual nacionali'!$A$4,"indicador","DINAMARCA","mes",10,"año",2007),"-")</f>
        <v>3492</v>
      </c>
      <c r="Z48" s="219">
        <f t="shared" si="36"/>
        <v>9.1591122225695543E-2</v>
      </c>
      <c r="AA48" s="218">
        <f>IFERROR(GETPIVOTDATA("dato",'[1]evolucion mensual nacionali'!$A$4,"indicador","FINLANDIA","mes",10,"año",2007),"-")</f>
        <v>3014</v>
      </c>
      <c r="AB48" s="219">
        <f t="shared" si="37"/>
        <v>0.67351471404775132</v>
      </c>
      <c r="AC48" s="218">
        <f>IFERROR(GETPIVOTDATA("dato",'[1]evolucion mensual nacionali'!$A$4,"indicador","SUIZA","mes",10,"año",2007),"-")</f>
        <v>1425</v>
      </c>
      <c r="AD48" s="219">
        <f t="shared" si="38"/>
        <v>-0.18988061398521883</v>
      </c>
      <c r="AE48" s="218">
        <f>IFERROR(GETPIVOTDATA("dato",'[1]evolucion mensual nacionali'!$A$4,"indicador","AUSTRIA","mes",10,"año",2007),"-")</f>
        <v>1212</v>
      </c>
      <c r="AF48" s="219">
        <f t="shared" si="39"/>
        <v>-0.1709986320109439</v>
      </c>
      <c r="AG48" s="218">
        <f>IFERROR(GETPIVOTDATA("dato",'[1]evolucion mensual nacionali'!$A$4,"indicador","RUSIA","mes",10,"año",2007),"-")</f>
        <v>4941</v>
      </c>
      <c r="AH48" s="219">
        <f t="shared" si="40"/>
        <v>0.33576642335766427</v>
      </c>
      <c r="AI48" s="218">
        <f>IFERROR(GETPIVOTDATA("dato",'[1]evolucion mensual nacionali'!$A$4,"indicador","PAÍSES DEL ESTE","mes",10,"año",2007),"-")</f>
        <v>3869</v>
      </c>
      <c r="AJ48" s="219">
        <f t="shared" si="41"/>
        <v>0.18753836709637817</v>
      </c>
      <c r="AK48" s="218">
        <f>IFERROR(GETPIVOTDATA("dato",'[1]evolucion mensual nacionali'!$A$4,"indicador","RESTO DE EUROPA","mes",10,"año",2007),"-")</f>
        <v>4137</v>
      </c>
      <c r="AL48" s="219">
        <f t="shared" si="42"/>
        <v>0.84358288770053469</v>
      </c>
      <c r="AM48" s="218">
        <f>IFERROR(GETPIVOTDATA("dato",'[1]evolucion mensual nacionali'!$A$4,"indicador","USA","mes",10,"año",2007),"-")</f>
        <v>213</v>
      </c>
      <c r="AN48" s="219">
        <f t="shared" si="43"/>
        <v>-0.31290322580645158</v>
      </c>
      <c r="AO48" s="218">
        <f>IFERROR(GETPIVOTDATA("dato",'[1]evolucion mensual nacionali'!$A$4,"indicador","RESTO DE AMÉRICA","mes",10,"año",2007),"-")</f>
        <v>175</v>
      </c>
      <c r="AP48" s="219">
        <f t="shared" si="44"/>
        <v>0.54867256637168138</v>
      </c>
      <c r="AQ48" s="218">
        <f>IFERROR(GETPIVOTDATA("dato",'[1]evolucion mensual nacionali'!$A$4,"indicador","RESTO DEL MUNDO","mes",10,"año",2007),"-")</f>
        <v>854</v>
      </c>
      <c r="AR48" s="219">
        <f t="shared" si="45"/>
        <v>-0.12678936605316971</v>
      </c>
      <c r="AS48" s="218">
        <f t="shared" si="53"/>
        <v>140839</v>
      </c>
      <c r="AT48" s="219">
        <f t="shared" si="46"/>
        <v>-5.0009106055189489E-2</v>
      </c>
      <c r="AU48" s="205">
        <f>IFERROR(GETPIVOTDATA("dato",'[1]evolucion mensual nacionali'!$A$4,"indicador","TOTAL","mes",10,"año",2007),"-")</f>
        <v>170847</v>
      </c>
      <c r="AV48" s="206">
        <f t="shared" si="47"/>
        <v>-3.4004104918551881E-2</v>
      </c>
    </row>
    <row r="49" spans="2:48" hidden="1" outlineLevel="1">
      <c r="B49" s="51" t="s">
        <v>40</v>
      </c>
      <c r="C49" s="218">
        <f>IFERROR(GETPIVOTDATA("dato",'[1]evolucion mensual nacionali'!$A$4,"indicador","España","mes",9,"año",2007),"-")</f>
        <v>38267</v>
      </c>
      <c r="D49" s="219">
        <f t="shared" si="25"/>
        <v>-7.437956557496006E-2</v>
      </c>
      <c r="E49" s="218">
        <f>IFERROR(GETPIVOTDATA("dato",'[1]evolucion mensual nacionali'!$A$4,"indicador","HOLANDA","mes",9,"año",2007),"-")</f>
        <v>4536</v>
      </c>
      <c r="F49" s="219">
        <f t="shared" si="26"/>
        <v>-8.7874522421073853E-2</v>
      </c>
      <c r="G49" s="218">
        <f>IFERROR(GETPIVOTDATA("dato",'[1]evolucion mensual nacionali'!$A$4,"indicador","BÉLGICA","mes",9,"año",2007),"-")</f>
        <v>3819</v>
      </c>
      <c r="H49" s="219">
        <f t="shared" si="27"/>
        <v>-0.18397435897435899</v>
      </c>
      <c r="I49" s="218">
        <f>IFERROR(GETPIVOTDATA("dato",'[1]evolucion mensual nacionali'!$A$4,"indicador","ALEMANIA","mes",9,"año",2007),"-")</f>
        <v>21180</v>
      </c>
      <c r="J49" s="219">
        <f t="shared" si="28"/>
        <v>-0.10843576359656504</v>
      </c>
      <c r="K49" s="218">
        <f>IFERROR(GETPIVOTDATA("dato",'[1]evolucion mensual nacionali'!$A$4,"indicador","FRANCIA","mes",9,"año",2007),"-")</f>
        <v>2690</v>
      </c>
      <c r="L49" s="219">
        <f t="shared" si="29"/>
        <v>0.25232774674115466</v>
      </c>
      <c r="M49" s="218">
        <f>IFERROR(GETPIVOTDATA("dato",'[1]evolucion mensual nacionali'!$A$4,"indicador","REINO UNIDO","mes",9,"año",2007),"-")</f>
        <v>48245</v>
      </c>
      <c r="N49" s="219">
        <f t="shared" si="30"/>
        <v>-0.26265837294248906</v>
      </c>
      <c r="O49" s="218">
        <f>IFERROR(GETPIVOTDATA("dato",'[1]evolucion mensual nacionali'!$A$4,"indicador","IRLANDA","mes",9,"año",2007),"-")</f>
        <v>1645</v>
      </c>
      <c r="P49" s="219">
        <f t="shared" si="31"/>
        <v>0.16090331686661963</v>
      </c>
      <c r="Q49" s="218">
        <f>IFERROR(GETPIVOTDATA("dato",'[1]evolucion mensual nacionali'!$A$4,"indicador","ITALIA","mes",9,"año",2007),"-")</f>
        <v>3674</v>
      </c>
      <c r="R49" s="219">
        <f t="shared" si="32"/>
        <v>0</v>
      </c>
      <c r="S49" s="218">
        <f t="shared" si="52"/>
        <v>1809</v>
      </c>
      <c r="T49" s="219">
        <f t="shared" si="33"/>
        <v>5.6042031523642732E-2</v>
      </c>
      <c r="U49" s="218">
        <f>IFERROR(GETPIVOTDATA("dato",'[1]evolucion mensual nacionali'!$A$4,"indicador","SUECIA","mes",9,"año",2007),"-")</f>
        <v>271</v>
      </c>
      <c r="V49" s="219">
        <f t="shared" si="34"/>
        <v>-0.28496042216358841</v>
      </c>
      <c r="W49" s="218">
        <f>IFERROR(GETPIVOTDATA("dato",'[1]evolucion mensual nacionali'!$A$4,"indicador","NORUEGA","mes",9,"año",2007),"-")</f>
        <v>354</v>
      </c>
      <c r="X49" s="219">
        <f t="shared" si="35"/>
        <v>-0.1428571428571429</v>
      </c>
      <c r="Y49" s="218">
        <f>IFERROR(GETPIVOTDATA("dato",'[1]evolucion mensual nacionali'!$A$4,"indicador","DINAMARCA","mes",9,"año",2007),"-")</f>
        <v>1149</v>
      </c>
      <c r="Z49" s="219">
        <f t="shared" si="36"/>
        <v>0.58046767537826693</v>
      </c>
      <c r="AA49" s="218">
        <f>IFERROR(GETPIVOTDATA("dato",'[1]evolucion mensual nacionali'!$A$4,"indicador","FINLANDIA","mes",9,"año",2007),"-")</f>
        <v>35</v>
      </c>
      <c r="AB49" s="219">
        <f t="shared" si="37"/>
        <v>-0.81958762886597936</v>
      </c>
      <c r="AC49" s="218">
        <f>IFERROR(GETPIVOTDATA("dato",'[1]evolucion mensual nacionali'!$A$4,"indicador","SUIZA","mes",9,"año",2007),"-")</f>
        <v>939</v>
      </c>
      <c r="AD49" s="219">
        <f t="shared" si="38"/>
        <v>-0.15860215053763438</v>
      </c>
      <c r="AE49" s="218">
        <f>IFERROR(GETPIVOTDATA("dato",'[1]evolucion mensual nacionali'!$A$4,"indicador","AUSTRIA","mes",9,"año",2007),"-")</f>
        <v>1091</v>
      </c>
      <c r="AF49" s="219">
        <f t="shared" si="39"/>
        <v>6.8560235063663155E-2</v>
      </c>
      <c r="AG49" s="218">
        <f>IFERROR(GETPIVOTDATA("dato",'[1]evolucion mensual nacionali'!$A$4,"indicador","RUSIA","mes",9,"año",2007),"-")</f>
        <v>5363</v>
      </c>
      <c r="AH49" s="219">
        <f t="shared" si="40"/>
        <v>0.23315704759714873</v>
      </c>
      <c r="AI49" s="218">
        <f>IFERROR(GETPIVOTDATA("dato",'[1]evolucion mensual nacionali'!$A$4,"indicador","PAÍSES DEL ESTE","mes",9,"año",2007),"-")</f>
        <v>3924</v>
      </c>
      <c r="AJ49" s="219">
        <f t="shared" si="41"/>
        <v>6.4568638090070518E-2</v>
      </c>
      <c r="AK49" s="218">
        <f>IFERROR(GETPIVOTDATA("dato",'[1]evolucion mensual nacionali'!$A$4,"indicador","RESTO DE EUROPA","mes",9,"año",2007),"-")</f>
        <v>4028</v>
      </c>
      <c r="AL49" s="219">
        <f t="shared" si="42"/>
        <v>0.39521995150675449</v>
      </c>
      <c r="AM49" s="218">
        <f>IFERROR(GETPIVOTDATA("dato",'[1]evolucion mensual nacionali'!$A$4,"indicador","USA","mes",9,"año",2007),"-")</f>
        <v>184</v>
      </c>
      <c r="AN49" s="219">
        <f t="shared" si="43"/>
        <v>-0.31851851851851853</v>
      </c>
      <c r="AO49" s="218">
        <f>IFERROR(GETPIVOTDATA("dato",'[1]evolucion mensual nacionali'!$A$4,"indicador","RESTO DE AMÉRICA","mes",9,"año",2007),"-")</f>
        <v>252</v>
      </c>
      <c r="AP49" s="219">
        <f t="shared" si="44"/>
        <v>8.1545064377682497E-2</v>
      </c>
      <c r="AQ49" s="218">
        <f>IFERROR(GETPIVOTDATA("dato",'[1]evolucion mensual nacionali'!$A$4,"indicador","RESTO DEL MUNDO","mes",9,"año",2007),"-")</f>
        <v>727</v>
      </c>
      <c r="AR49" s="219">
        <f t="shared" si="45"/>
        <v>-0.2298728813559322</v>
      </c>
      <c r="AS49" s="218">
        <f t="shared" si="53"/>
        <v>104106</v>
      </c>
      <c r="AT49" s="219">
        <f t="shared" si="46"/>
        <v>-0.1487514104891331</v>
      </c>
      <c r="AU49" s="205">
        <f>IFERROR(GETPIVOTDATA("dato",'[1]evolucion mensual nacionali'!$A$4,"indicador","TOTAL","mes",9,"año",2007),"-")</f>
        <v>142373</v>
      </c>
      <c r="AV49" s="206">
        <f t="shared" si="47"/>
        <v>-0.12996211195306773</v>
      </c>
    </row>
    <row r="50" spans="2:48" hidden="1" outlineLevel="1">
      <c r="B50" s="51" t="s">
        <v>41</v>
      </c>
      <c r="C50" s="218">
        <f>IFERROR(GETPIVOTDATA("dato",'[1]evolucion mensual nacionali'!$A$4,"indicador","España","mes",8,"año",2007),"-")</f>
        <v>61158</v>
      </c>
      <c r="D50" s="219">
        <f t="shared" si="25"/>
        <v>5.5103167483265381E-2</v>
      </c>
      <c r="E50" s="218">
        <f>IFERROR(GETPIVOTDATA("dato",'[1]evolucion mensual nacionali'!$A$4,"indicador","HOLANDA","mes",8,"año",2007),"-")</f>
        <v>5282</v>
      </c>
      <c r="F50" s="219">
        <f t="shared" si="26"/>
        <v>9.7495698719174406E-3</v>
      </c>
      <c r="G50" s="218">
        <f>IFERROR(GETPIVOTDATA("dato",'[1]evolucion mensual nacionali'!$A$4,"indicador","BÉLGICA","mes",8,"año",2007),"-")</f>
        <v>7508</v>
      </c>
      <c r="H50" s="219">
        <f t="shared" si="27"/>
        <v>0.2622730329522529</v>
      </c>
      <c r="I50" s="218">
        <f>IFERROR(GETPIVOTDATA("dato",'[1]evolucion mensual nacionali'!$A$4,"indicador","ALEMANIA","mes",8,"año",2007),"-")</f>
        <v>21434</v>
      </c>
      <c r="J50" s="219">
        <f t="shared" si="28"/>
        <v>1.6552051221247366E-2</v>
      </c>
      <c r="K50" s="218">
        <f>IFERROR(GETPIVOTDATA("dato",'[1]evolucion mensual nacionali'!$A$4,"indicador","FRANCIA","mes",8,"año",2007),"-")</f>
        <v>4583</v>
      </c>
      <c r="L50" s="219">
        <f t="shared" si="29"/>
        <v>0.27023281596452331</v>
      </c>
      <c r="M50" s="218">
        <f>IFERROR(GETPIVOTDATA("dato",'[1]evolucion mensual nacionali'!$A$4,"indicador","REINO UNIDO","mes",8,"año",2007),"-")</f>
        <v>55818</v>
      </c>
      <c r="N50" s="219">
        <f t="shared" si="30"/>
        <v>-6.3644903710662337E-2</v>
      </c>
      <c r="O50" s="218">
        <f>IFERROR(GETPIVOTDATA("dato",'[1]evolucion mensual nacionali'!$A$4,"indicador","IRLANDA","mes",8,"año",2007),"-")</f>
        <v>1441</v>
      </c>
      <c r="P50" s="219">
        <f t="shared" si="31"/>
        <v>8.4273890142964714E-2</v>
      </c>
      <c r="Q50" s="218">
        <f>IFERROR(GETPIVOTDATA("dato",'[1]evolucion mensual nacionali'!$A$4,"indicador","ITALIA","mes",8,"año",2007),"-")</f>
        <v>9342</v>
      </c>
      <c r="R50" s="219">
        <f t="shared" si="32"/>
        <v>-4.7706422018348627E-2</v>
      </c>
      <c r="S50" s="218">
        <f t="shared" si="52"/>
        <v>936</v>
      </c>
      <c r="T50" s="219">
        <f t="shared" si="33"/>
        <v>-0.4595842956120092</v>
      </c>
      <c r="U50" s="218">
        <f>IFERROR(GETPIVOTDATA("dato",'[1]evolucion mensual nacionali'!$A$4,"indicador","SUECIA","mes",8,"año",2007),"-")</f>
        <v>275</v>
      </c>
      <c r="V50" s="219">
        <f t="shared" si="34"/>
        <v>-0.38063063063063063</v>
      </c>
      <c r="W50" s="218">
        <f>IFERROR(GETPIVOTDATA("dato",'[1]evolucion mensual nacionali'!$A$4,"indicador","NORUEGA","mes",8,"año",2007),"-")</f>
        <v>246</v>
      </c>
      <c r="X50" s="219">
        <f t="shared" si="35"/>
        <v>-0.1398601398601399</v>
      </c>
      <c r="Y50" s="218">
        <f>IFERROR(GETPIVOTDATA("dato",'[1]evolucion mensual nacionali'!$A$4,"indicador","DINAMARCA","mes",8,"año",2007),"-")</f>
        <v>384</v>
      </c>
      <c r="Z50" s="219">
        <f t="shared" si="36"/>
        <v>-0.60935910478128186</v>
      </c>
      <c r="AA50" s="218">
        <f>IFERROR(GETPIVOTDATA("dato",'[1]evolucion mensual nacionali'!$A$4,"indicador","FINLANDIA","mes",8,"año",2007),"-")</f>
        <v>31</v>
      </c>
      <c r="AB50" s="219">
        <f t="shared" si="37"/>
        <v>0.63157894736842102</v>
      </c>
      <c r="AC50" s="218">
        <f>IFERROR(GETPIVOTDATA("dato",'[1]evolucion mensual nacionali'!$A$4,"indicador","SUIZA","mes",8,"año",2007),"-")</f>
        <v>750</v>
      </c>
      <c r="AD50" s="219">
        <f t="shared" si="38"/>
        <v>-9.9639855942376898E-2</v>
      </c>
      <c r="AE50" s="218">
        <f>IFERROR(GETPIVOTDATA("dato",'[1]evolucion mensual nacionali'!$A$4,"indicador","AUSTRIA","mes",8,"año",2007),"-")</f>
        <v>1210</v>
      </c>
      <c r="AF50" s="219">
        <f t="shared" si="39"/>
        <v>4.0412725709372266E-2</v>
      </c>
      <c r="AG50" s="218">
        <f>IFERROR(GETPIVOTDATA("dato",'[1]evolucion mensual nacionali'!$A$4,"indicador","RUSIA","mes",8,"año",2007),"-")</f>
        <v>5077</v>
      </c>
      <c r="AH50" s="219">
        <f t="shared" si="40"/>
        <v>0.29317371370351508</v>
      </c>
      <c r="AI50" s="218">
        <f>IFERROR(GETPIVOTDATA("dato",'[1]evolucion mensual nacionali'!$A$4,"indicador","PAÍSES DEL ESTE","mes",8,"año",2007),"-")</f>
        <v>3880</v>
      </c>
      <c r="AJ50" s="219">
        <f t="shared" si="41"/>
        <v>7.8676675006950303E-2</v>
      </c>
      <c r="AK50" s="218">
        <f>IFERROR(GETPIVOTDATA("dato",'[1]evolucion mensual nacionali'!$A$4,"indicador","RESTO DE EUROPA","mes",8,"año",2007),"-")</f>
        <v>5847</v>
      </c>
      <c r="AL50" s="219">
        <f t="shared" si="42"/>
        <v>0.2504277159965782</v>
      </c>
      <c r="AM50" s="218">
        <f>IFERROR(GETPIVOTDATA("dato",'[1]evolucion mensual nacionali'!$A$4,"indicador","USA","mes",8,"año",2007),"-")</f>
        <v>265</v>
      </c>
      <c r="AN50" s="219">
        <f t="shared" si="43"/>
        <v>0</v>
      </c>
      <c r="AO50" s="218">
        <f>IFERROR(GETPIVOTDATA("dato",'[1]evolucion mensual nacionali'!$A$4,"indicador","RESTO DE AMÉRICA","mes",8,"año",2007),"-")</f>
        <v>246</v>
      </c>
      <c r="AP50" s="219">
        <f t="shared" si="44"/>
        <v>-0.57439446366781999</v>
      </c>
      <c r="AQ50" s="218">
        <f>IFERROR(GETPIVOTDATA("dato",'[1]evolucion mensual nacionali'!$A$4,"indicador","RESTO DEL MUNDO","mes",8,"año",2007),"-")</f>
        <v>865</v>
      </c>
      <c r="AR50" s="219">
        <f t="shared" si="45"/>
        <v>-1.4806378132118492E-2</v>
      </c>
      <c r="AS50" s="218">
        <f t="shared" si="53"/>
        <v>124484</v>
      </c>
      <c r="AT50" s="219">
        <f t="shared" si="46"/>
        <v>1.7139960248166997E-3</v>
      </c>
      <c r="AU50" s="205">
        <f>IFERROR(GETPIVOTDATA("dato",'[1]evolucion mensual nacionali'!$A$4,"indicador","TOTAL","mes",8,"año",2007),"-")</f>
        <v>185642</v>
      </c>
      <c r="AV50" s="206">
        <f t="shared" si="47"/>
        <v>1.8695640244738909E-2</v>
      </c>
    </row>
    <row r="51" spans="2:48" hidden="1" outlineLevel="1">
      <c r="B51" s="51" t="s">
        <v>42</v>
      </c>
      <c r="C51" s="218">
        <f>IFERROR(GETPIVOTDATA("dato",'[1]evolucion mensual nacionali'!$A$4,"indicador","España","mes",7,"año",2007),"-")</f>
        <v>49159</v>
      </c>
      <c r="D51" s="219">
        <f t="shared" si="25"/>
        <v>7.5783438375350176E-2</v>
      </c>
      <c r="E51" s="218">
        <f>IFERROR(GETPIVOTDATA("dato",'[1]evolucion mensual nacionali'!$A$4,"indicador","HOLANDA","mes",7,"año",2007),"-")</f>
        <v>8093</v>
      </c>
      <c r="F51" s="219">
        <f t="shared" si="26"/>
        <v>1.1498562679665092E-2</v>
      </c>
      <c r="G51" s="218">
        <f>IFERROR(GETPIVOTDATA("dato",'[1]evolucion mensual nacionali'!$A$4,"indicador","BÉLGICA","mes",7,"año",2007),"-")</f>
        <v>6524</v>
      </c>
      <c r="H51" s="219">
        <f t="shared" si="27"/>
        <v>-7.3032111395282762E-2</v>
      </c>
      <c r="I51" s="218">
        <f>IFERROR(GETPIVOTDATA("dato",'[1]evolucion mensual nacionali'!$A$4,"indicador","ALEMANIA","mes",7,"año",2007),"-")</f>
        <v>19130</v>
      </c>
      <c r="J51" s="219">
        <f t="shared" si="28"/>
        <v>-4.0862371521684593E-2</v>
      </c>
      <c r="K51" s="218">
        <f>IFERROR(GETPIVOTDATA("dato",'[1]evolucion mensual nacionali'!$A$4,"indicador","FRANCIA","mes",7,"año",2007),"-")</f>
        <v>3183</v>
      </c>
      <c r="L51" s="219">
        <f t="shared" si="29"/>
        <v>4.0196078431372628E-2</v>
      </c>
      <c r="M51" s="218">
        <f>IFERROR(GETPIVOTDATA("dato",'[1]evolucion mensual nacionali'!$A$4,"indicador","REINO UNIDO","mes",7,"año",2007),"-")</f>
        <v>48510</v>
      </c>
      <c r="N51" s="219">
        <f t="shared" si="30"/>
        <v>-0.18058816574044356</v>
      </c>
      <c r="O51" s="218">
        <f>IFERROR(GETPIVOTDATA("dato",'[1]evolucion mensual nacionali'!$A$4,"indicador","IRLANDA","mes",7,"año",2007),"-")</f>
        <v>1431</v>
      </c>
      <c r="P51" s="219">
        <f t="shared" si="31"/>
        <v>-0.20367278797996657</v>
      </c>
      <c r="Q51" s="218">
        <f>IFERROR(GETPIVOTDATA("dato",'[1]evolucion mensual nacionali'!$A$4,"indicador","ITALIA","mes",7,"año",2007),"-")</f>
        <v>5448</v>
      </c>
      <c r="R51" s="219">
        <f t="shared" si="32"/>
        <v>4.9306625577812069E-2</v>
      </c>
      <c r="S51" s="218">
        <f t="shared" si="52"/>
        <v>1245</v>
      </c>
      <c r="T51" s="219">
        <f t="shared" si="33"/>
        <v>-0.30563301728945902</v>
      </c>
      <c r="U51" s="218">
        <f>IFERROR(GETPIVOTDATA("dato",'[1]evolucion mensual nacionali'!$A$4,"indicador","SUECIA","mes",7,"año",2007),"-")</f>
        <v>280</v>
      </c>
      <c r="V51" s="219">
        <f t="shared" si="34"/>
        <v>-0.20679886685552407</v>
      </c>
      <c r="W51" s="218">
        <f>IFERROR(GETPIVOTDATA("dato",'[1]evolucion mensual nacionali'!$A$4,"indicador","NORUEGA","mes",7,"año",2007),"-")</f>
        <v>344</v>
      </c>
      <c r="X51" s="219">
        <f t="shared" si="35"/>
        <v>-0.14640198511166258</v>
      </c>
      <c r="Y51" s="218">
        <f>IFERROR(GETPIVOTDATA("dato",'[1]evolucion mensual nacionali'!$A$4,"indicador","DINAMARCA","mes",7,"año",2007),"-")</f>
        <v>592</v>
      </c>
      <c r="Z51" s="219">
        <f t="shared" si="36"/>
        <v>-0.3318284424379232</v>
      </c>
      <c r="AA51" s="218">
        <f>IFERROR(GETPIVOTDATA("dato",'[1]evolucion mensual nacionali'!$A$4,"indicador","FINLANDIA","mes",7,"año",2007),"-")</f>
        <v>29</v>
      </c>
      <c r="AB51" s="219">
        <f t="shared" si="37"/>
        <v>-0.80794701986754969</v>
      </c>
      <c r="AC51" s="218">
        <f>IFERROR(GETPIVOTDATA("dato",'[1]evolucion mensual nacionali'!$A$4,"indicador","SUIZA","mes",7,"año",2007),"-")</f>
        <v>1157</v>
      </c>
      <c r="AD51" s="219">
        <f t="shared" si="38"/>
        <v>-0.11881188118811881</v>
      </c>
      <c r="AE51" s="218">
        <f>IFERROR(GETPIVOTDATA("dato",'[1]evolucion mensual nacionali'!$A$4,"indicador","AUSTRIA","mes",7,"año",2007),"-")</f>
        <v>1249</v>
      </c>
      <c r="AF51" s="219">
        <f t="shared" si="39"/>
        <v>-7.8908554572271417E-2</v>
      </c>
      <c r="AG51" s="218">
        <f>IFERROR(GETPIVOTDATA("dato",'[1]evolucion mensual nacionali'!$A$4,"indicador","RUSIA","mes",7,"año",2007),"-")</f>
        <v>4554</v>
      </c>
      <c r="AH51" s="219">
        <f t="shared" si="40"/>
        <v>0.3123919308357348</v>
      </c>
      <c r="AI51" s="218">
        <f>IFERROR(GETPIVOTDATA("dato",'[1]evolucion mensual nacionali'!$A$4,"indicador","PAÍSES DEL ESTE","mes",7,"año",2007),"-")</f>
        <v>3676</v>
      </c>
      <c r="AJ51" s="219">
        <f t="shared" si="41"/>
        <v>3.0013642564801213E-3</v>
      </c>
      <c r="AK51" s="218">
        <f>IFERROR(GETPIVOTDATA("dato",'[1]evolucion mensual nacionali'!$A$4,"indicador","RESTO DE EUROPA","mes",7,"año",2007),"-")</f>
        <v>5366</v>
      </c>
      <c r="AL51" s="219">
        <f t="shared" si="42"/>
        <v>0.24443413729128016</v>
      </c>
      <c r="AM51" s="218">
        <f>IFERROR(GETPIVOTDATA("dato",'[1]evolucion mensual nacionali'!$A$4,"indicador","USA","mes",7,"año",2007),"-")</f>
        <v>317</v>
      </c>
      <c r="AN51" s="219">
        <f t="shared" si="43"/>
        <v>-0.36599999999999999</v>
      </c>
      <c r="AO51" s="218">
        <f>IFERROR(GETPIVOTDATA("dato",'[1]evolucion mensual nacionali'!$A$4,"indicador","RESTO DE AMÉRICA","mes",7,"año",2007),"-")</f>
        <v>294</v>
      </c>
      <c r="AP51" s="219">
        <f t="shared" si="44"/>
        <v>-0.1502890173410405</v>
      </c>
      <c r="AQ51" s="218">
        <f>IFERROR(GETPIVOTDATA("dato",'[1]evolucion mensual nacionali'!$A$4,"indicador","RESTO DEL MUNDO","mes",7,"año",2007),"-")</f>
        <v>983</v>
      </c>
      <c r="AR51" s="219">
        <f t="shared" si="45"/>
        <v>-0.24904507257448438</v>
      </c>
      <c r="AS51" s="218">
        <f t="shared" si="53"/>
        <v>111160</v>
      </c>
      <c r="AT51" s="219">
        <f t="shared" si="46"/>
        <v>-9.10726258810447E-2</v>
      </c>
      <c r="AU51" s="205">
        <f>IFERROR(GETPIVOTDATA("dato",'[1]evolucion mensual nacionali'!$A$4,"indicador","TOTAL","mes",7,"año",2007),"-")</f>
        <v>160319</v>
      </c>
      <c r="AV51" s="206">
        <f t="shared" si="47"/>
        <v>-4.5686155457932975E-2</v>
      </c>
    </row>
    <row r="52" spans="2:48" hidden="1" outlineLevel="1">
      <c r="B52" s="51" t="s">
        <v>43</v>
      </c>
      <c r="C52" s="218">
        <f>IFERROR(GETPIVOTDATA("dato",'[1]evolucion mensual nacionali'!$A$4,"indicador","España","mes",6,"año",2007),"-")</f>
        <v>39488</v>
      </c>
      <c r="D52" s="219">
        <f t="shared" si="25"/>
        <v>0.14315490837506872</v>
      </c>
      <c r="E52" s="218">
        <f>IFERROR(GETPIVOTDATA("dato",'[1]evolucion mensual nacionali'!$A$4,"indicador","HOLANDA","mes",6,"año",2007),"-")</f>
        <v>3647</v>
      </c>
      <c r="F52" s="219">
        <f t="shared" si="26"/>
        <v>-0.19189009528030132</v>
      </c>
      <c r="G52" s="218">
        <f>IFERROR(GETPIVOTDATA("dato",'[1]evolucion mensual nacionali'!$A$4,"indicador","BÉLGICA","mes",6,"año",2007),"-")</f>
        <v>3946</v>
      </c>
      <c r="H52" s="219">
        <f t="shared" si="27"/>
        <v>-7.0435806831566583E-2</v>
      </c>
      <c r="I52" s="218">
        <f>IFERROR(GETPIVOTDATA("dato",'[1]evolucion mensual nacionali'!$A$4,"indicador","ALEMANIA","mes",6,"año",2007),"-")</f>
        <v>20741</v>
      </c>
      <c r="J52" s="219">
        <f t="shared" si="28"/>
        <v>-3.2647730982696688E-2</v>
      </c>
      <c r="K52" s="218">
        <f>IFERROR(GETPIVOTDATA("dato",'[1]evolucion mensual nacionali'!$A$4,"indicador","FRANCIA","mes",6,"año",2007),"-")</f>
        <v>2190</v>
      </c>
      <c r="L52" s="219">
        <f t="shared" si="29"/>
        <v>0.19803063457330405</v>
      </c>
      <c r="M52" s="218">
        <f>IFERROR(GETPIVOTDATA("dato",'[1]evolucion mensual nacionali'!$A$4,"indicador","REINO UNIDO","mes",6,"año",2007),"-")</f>
        <v>53175</v>
      </c>
      <c r="N52" s="219">
        <f t="shared" si="30"/>
        <v>-0.16839998123328592</v>
      </c>
      <c r="O52" s="218">
        <f>IFERROR(GETPIVOTDATA("dato",'[1]evolucion mensual nacionali'!$A$4,"indicador","IRLANDA","mes",6,"año",2007),"-")</f>
        <v>1412</v>
      </c>
      <c r="P52" s="219">
        <f t="shared" si="31"/>
        <v>-4.6590141796083673E-2</v>
      </c>
      <c r="Q52" s="218">
        <f>IFERROR(GETPIVOTDATA("dato",'[1]evolucion mensual nacionali'!$A$4,"indicador","ITALIA","mes",6,"año",2007),"-")</f>
        <v>3532</v>
      </c>
      <c r="R52" s="219">
        <f t="shared" si="32"/>
        <v>-2.2959889349930873E-2</v>
      </c>
      <c r="S52" s="218">
        <f t="shared" si="52"/>
        <v>590</v>
      </c>
      <c r="T52" s="219">
        <f t="shared" si="33"/>
        <v>-0.47879858657243812</v>
      </c>
      <c r="U52" s="218">
        <f>IFERROR(GETPIVOTDATA("dato",'[1]evolucion mensual nacionali'!$A$4,"indicador","SUECIA","mes",6,"año",2007),"-")</f>
        <v>113</v>
      </c>
      <c r="V52" s="219">
        <f t="shared" si="34"/>
        <v>9.7087378640776656E-2</v>
      </c>
      <c r="W52" s="218">
        <f>IFERROR(GETPIVOTDATA("dato",'[1]evolucion mensual nacionali'!$A$4,"indicador","NORUEGA","mes",6,"año",2007),"-")</f>
        <v>53</v>
      </c>
      <c r="X52" s="219">
        <f t="shared" si="35"/>
        <v>0.17777777777777781</v>
      </c>
      <c r="Y52" s="218">
        <f>IFERROR(GETPIVOTDATA("dato",'[1]evolucion mensual nacionali'!$A$4,"indicador","DINAMARCA","mes",6,"año",2007),"-")</f>
        <v>387</v>
      </c>
      <c r="Z52" s="219">
        <f t="shared" si="36"/>
        <v>-0.41979010494752622</v>
      </c>
      <c r="AA52" s="218">
        <f>IFERROR(GETPIVOTDATA("dato",'[1]evolucion mensual nacionali'!$A$4,"indicador","FINLANDIA","mes",6,"año",2007),"-")</f>
        <v>37</v>
      </c>
      <c r="AB52" s="219">
        <f t="shared" si="37"/>
        <v>-0.88328075709779186</v>
      </c>
      <c r="AC52" s="218">
        <f>IFERROR(GETPIVOTDATA("dato",'[1]evolucion mensual nacionali'!$A$4,"indicador","SUIZA","mes",6,"año",2007),"-")</f>
        <v>889</v>
      </c>
      <c r="AD52" s="219">
        <f t="shared" si="38"/>
        <v>0.13248407643312099</v>
      </c>
      <c r="AE52" s="218">
        <f>IFERROR(GETPIVOTDATA("dato",'[1]evolucion mensual nacionali'!$A$4,"indicador","AUSTRIA","mes",6,"año",2007),"-")</f>
        <v>1108</v>
      </c>
      <c r="AF52" s="219">
        <f t="shared" si="39"/>
        <v>7.3643410852713087E-2</v>
      </c>
      <c r="AG52" s="218">
        <f>IFERROR(GETPIVOTDATA("dato",'[1]evolucion mensual nacionali'!$A$4,"indicador","RUSIA","mes",6,"año",2007),"-")</f>
        <v>4418</v>
      </c>
      <c r="AH52" s="219">
        <f t="shared" si="40"/>
        <v>3.7332707208264759E-2</v>
      </c>
      <c r="AI52" s="218">
        <f>IFERROR(GETPIVOTDATA("dato",'[1]evolucion mensual nacionali'!$A$4,"indicador","PAÍSES DEL ESTE","mes",6,"año",2007),"-")</f>
        <v>3575</v>
      </c>
      <c r="AJ52" s="219">
        <f t="shared" si="41"/>
        <v>8.9939024390243816E-2</v>
      </c>
      <c r="AK52" s="218">
        <f>IFERROR(GETPIVOTDATA("dato",'[1]evolucion mensual nacionali'!$A$4,"indicador","RESTO DE EUROPA","mes",6,"año",2007),"-")</f>
        <v>4347</v>
      </c>
      <c r="AL52" s="219">
        <f t="shared" si="42"/>
        <v>0.58476121035362749</v>
      </c>
      <c r="AM52" s="218">
        <f>IFERROR(GETPIVOTDATA("dato",'[1]evolucion mensual nacionali'!$A$4,"indicador","USA","mes",6,"año",2007),"-")</f>
        <v>344</v>
      </c>
      <c r="AN52" s="219">
        <f t="shared" si="43"/>
        <v>-0.36414048059149717</v>
      </c>
      <c r="AO52" s="218">
        <f>IFERROR(GETPIVOTDATA("dato",'[1]evolucion mensual nacionali'!$A$4,"indicador","RESTO DE AMÉRICA","mes",6,"año",2007),"-")</f>
        <v>240</v>
      </c>
      <c r="AP52" s="219">
        <f t="shared" si="44"/>
        <v>0.37142857142857144</v>
      </c>
      <c r="AQ52" s="218">
        <f>IFERROR(GETPIVOTDATA("dato",'[1]evolucion mensual nacionali'!$A$4,"indicador","RESTO DEL MUNDO","mes",6,"año",2007),"-")</f>
        <v>864</v>
      </c>
      <c r="AR52" s="219">
        <f t="shared" si="45"/>
        <v>-0.41857335127860029</v>
      </c>
      <c r="AS52" s="218">
        <f t="shared" si="53"/>
        <v>105018</v>
      </c>
      <c r="AT52" s="219">
        <f t="shared" si="46"/>
        <v>-9.8550202147657973E-2</v>
      </c>
      <c r="AU52" s="205">
        <f>IFERROR(GETPIVOTDATA("dato",'[1]evolucion mensual nacionali'!$A$4,"indicador","TOTAL","mes",6,"año",2007),"-")</f>
        <v>144506</v>
      </c>
      <c r="AV52" s="206">
        <f t="shared" si="47"/>
        <v>-4.3272732087763721E-2</v>
      </c>
    </row>
    <row r="53" spans="2:48" hidden="1" outlineLevel="1">
      <c r="B53" s="51" t="s">
        <v>44</v>
      </c>
      <c r="C53" s="218">
        <f>IFERROR(GETPIVOTDATA("dato",'[1]evolucion mensual nacionali'!$A$4,"indicador","España","mes",5,"año",2007),"-")</f>
        <v>26638</v>
      </c>
      <c r="D53" s="219">
        <f t="shared" si="25"/>
        <v>-9.9976348954285865E-2</v>
      </c>
      <c r="E53" s="218">
        <f>IFERROR(GETPIVOTDATA("dato",'[1]evolucion mensual nacionali'!$A$4,"indicador","HOLANDA","mes",5,"año",2007),"-")</f>
        <v>4678</v>
      </c>
      <c r="F53" s="219">
        <f t="shared" si="26"/>
        <v>-0.25969298939705654</v>
      </c>
      <c r="G53" s="218">
        <f>IFERROR(GETPIVOTDATA("dato",'[1]evolucion mensual nacionali'!$A$4,"indicador","BÉLGICA","mes",5,"año",2007),"-")</f>
        <v>3558</v>
      </c>
      <c r="H53" s="219">
        <f t="shared" si="27"/>
        <v>-0.10737581535373808</v>
      </c>
      <c r="I53" s="218">
        <f>IFERROR(GETPIVOTDATA("dato",'[1]evolucion mensual nacionali'!$A$4,"indicador","ALEMANIA","mes",5,"año",2007),"-")</f>
        <v>17972</v>
      </c>
      <c r="J53" s="219">
        <f t="shared" si="28"/>
        <v>-6.7939010476091743E-2</v>
      </c>
      <c r="K53" s="218">
        <f>IFERROR(GETPIVOTDATA("dato",'[1]evolucion mensual nacionali'!$A$4,"indicador","FRANCIA","mes",5,"año",2007),"-")</f>
        <v>1938</v>
      </c>
      <c r="L53" s="219">
        <f t="shared" si="29"/>
        <v>-0.33969335604770012</v>
      </c>
      <c r="M53" s="218">
        <f>IFERROR(GETPIVOTDATA("dato",'[1]evolucion mensual nacionali'!$A$4,"indicador","REINO UNIDO","mes",5,"año",2007),"-")</f>
        <v>47367</v>
      </c>
      <c r="N53" s="219">
        <f t="shared" si="30"/>
        <v>-0.13196378830083566</v>
      </c>
      <c r="O53" s="218">
        <f>IFERROR(GETPIVOTDATA("dato",'[1]evolucion mensual nacionali'!$A$4,"indicador","IRLANDA","mes",5,"año",2007),"-")</f>
        <v>1334</v>
      </c>
      <c r="P53" s="219">
        <f t="shared" si="31"/>
        <v>1.5220700152207112E-2</v>
      </c>
      <c r="Q53" s="218">
        <f>IFERROR(GETPIVOTDATA("dato",'[1]evolucion mensual nacionali'!$A$4,"indicador","ITALIA","mes",5,"año",2007),"-")</f>
        <v>2644</v>
      </c>
      <c r="R53" s="219">
        <f t="shared" si="32"/>
        <v>-0.27282728272827284</v>
      </c>
      <c r="S53" s="218">
        <f t="shared" si="52"/>
        <v>483</v>
      </c>
      <c r="T53" s="219">
        <f t="shared" si="33"/>
        <v>-0.59377628259041204</v>
      </c>
      <c r="U53" s="218">
        <f>IFERROR(GETPIVOTDATA("dato",'[1]evolucion mensual nacionali'!$A$4,"indicador","SUECIA","mes",5,"año",2007),"-")</f>
        <v>112</v>
      </c>
      <c r="V53" s="219">
        <f t="shared" si="34"/>
        <v>0.67164179104477606</v>
      </c>
      <c r="W53" s="218">
        <f>IFERROR(GETPIVOTDATA("dato",'[1]evolucion mensual nacionali'!$A$4,"indicador","NORUEGA","mes",5,"año",2007),"-")</f>
        <v>26</v>
      </c>
      <c r="X53" s="219">
        <f t="shared" si="35"/>
        <v>0</v>
      </c>
      <c r="Y53" s="218">
        <f>IFERROR(GETPIVOTDATA("dato",'[1]evolucion mensual nacionali'!$A$4,"indicador","DINAMARCA","mes",5,"año",2007),"-")</f>
        <v>312</v>
      </c>
      <c r="Z53" s="219">
        <f t="shared" si="36"/>
        <v>-0.61811505507955933</v>
      </c>
      <c r="AA53" s="218">
        <f>IFERROR(GETPIVOTDATA("dato",'[1]evolucion mensual nacionali'!$A$4,"indicador","FINLANDIA","mes",5,"año",2007),"-")</f>
        <v>33</v>
      </c>
      <c r="AB53" s="219">
        <f t="shared" si="37"/>
        <v>-0.88172043010752688</v>
      </c>
      <c r="AC53" s="218">
        <f>IFERROR(GETPIVOTDATA("dato",'[1]evolucion mensual nacionali'!$A$4,"indicador","SUIZA","mes",5,"año",2007),"-")</f>
        <v>797</v>
      </c>
      <c r="AD53" s="219">
        <f t="shared" si="38"/>
        <v>0</v>
      </c>
      <c r="AE53" s="218">
        <f>IFERROR(GETPIVOTDATA("dato",'[1]evolucion mensual nacionali'!$A$4,"indicador","AUSTRIA","mes",5,"año",2007),"-")</f>
        <v>727</v>
      </c>
      <c r="AF53" s="219">
        <f t="shared" si="39"/>
        <v>-0.21405405405405409</v>
      </c>
      <c r="AG53" s="218">
        <f>IFERROR(GETPIVOTDATA("dato",'[1]evolucion mensual nacionali'!$A$4,"indicador","RUSIA","mes",5,"año",2007),"-")</f>
        <v>2984</v>
      </c>
      <c r="AH53" s="219">
        <f t="shared" si="40"/>
        <v>-0.11820330969267134</v>
      </c>
      <c r="AI53" s="218">
        <f>IFERROR(GETPIVOTDATA("dato",'[1]evolucion mensual nacionali'!$A$4,"indicador","PAÍSES DEL ESTE","mes",5,"año",2007),"-")</f>
        <v>1466</v>
      </c>
      <c r="AJ53" s="219">
        <f t="shared" si="41"/>
        <v>-2.7851458885941649E-2</v>
      </c>
      <c r="AK53" s="218">
        <f>IFERROR(GETPIVOTDATA("dato",'[1]evolucion mensual nacionali'!$A$4,"indicador","RESTO DE EUROPA","mes",5,"año",2007),"-")</f>
        <v>2359</v>
      </c>
      <c r="AL53" s="219">
        <f t="shared" si="42"/>
        <v>0.40249702734839476</v>
      </c>
      <c r="AM53" s="218">
        <f>IFERROR(GETPIVOTDATA("dato",'[1]evolucion mensual nacionali'!$A$4,"indicador","USA","mes",5,"año",2007),"-")</f>
        <v>397</v>
      </c>
      <c r="AN53" s="219">
        <f t="shared" si="43"/>
        <v>6.149732620320858E-2</v>
      </c>
      <c r="AO53" s="218">
        <f>IFERROR(GETPIVOTDATA("dato",'[1]evolucion mensual nacionali'!$A$4,"indicador","RESTO DE AMÉRICA","mes",5,"año",2007),"-")</f>
        <v>286</v>
      </c>
      <c r="AP53" s="219">
        <f t="shared" si="44"/>
        <v>0.22746781115879822</v>
      </c>
      <c r="AQ53" s="218">
        <f>IFERROR(GETPIVOTDATA("dato",'[1]evolucion mensual nacionali'!$A$4,"indicador","RESTO DEL MUNDO","mes",5,"año",2007),"-")</f>
        <v>500</v>
      </c>
      <c r="AR53" s="219">
        <f t="shared" si="45"/>
        <v>-0.15110356536502545</v>
      </c>
      <c r="AS53" s="218">
        <f t="shared" si="53"/>
        <v>89490</v>
      </c>
      <c r="AT53" s="219">
        <f t="shared" si="46"/>
        <v>-0.12880521022965119</v>
      </c>
      <c r="AU53" s="205">
        <f>IFERROR(GETPIVOTDATA("dato",'[1]evolucion mensual nacionali'!$A$4,"indicador","TOTAL","mes",5,"año",2007),"-")</f>
        <v>116128</v>
      </c>
      <c r="AV53" s="206">
        <f t="shared" si="47"/>
        <v>-0.12235674662555363</v>
      </c>
    </row>
    <row r="54" spans="2:48" hidden="1" outlineLevel="1">
      <c r="B54" s="51" t="s">
        <v>45</v>
      </c>
      <c r="C54" s="218">
        <f>IFERROR(GETPIVOTDATA("dato",'[1]evolucion mensual nacionali'!$A$4,"indicador","España","mes",4,"año",2007),"-")</f>
        <v>32789</v>
      </c>
      <c r="D54" s="219">
        <f t="shared" si="25"/>
        <v>-0.16232787471578569</v>
      </c>
      <c r="E54" s="218">
        <f>IFERROR(GETPIVOTDATA("dato",'[1]evolucion mensual nacionali'!$A$4,"indicador","HOLANDA","mes",4,"año",2007),"-")</f>
        <v>6334</v>
      </c>
      <c r="F54" s="219">
        <f t="shared" si="26"/>
        <v>5.9728961017232685E-2</v>
      </c>
      <c r="G54" s="218">
        <f>IFERROR(GETPIVOTDATA("dato",'[1]evolucion mensual nacionali'!$A$4,"indicador","BÉLGICA","mes",4,"año",2007),"-")</f>
        <v>6190</v>
      </c>
      <c r="H54" s="219">
        <f t="shared" si="27"/>
        <v>-8.5131540053207222E-2</v>
      </c>
      <c r="I54" s="218">
        <f>IFERROR(GETPIVOTDATA("dato",'[1]evolucion mensual nacionali'!$A$4,"indicador","ALEMANIA","mes",4,"año",2007),"-")</f>
        <v>25446</v>
      </c>
      <c r="J54" s="219">
        <f t="shared" si="28"/>
        <v>-0.12975376196990429</v>
      </c>
      <c r="K54" s="218">
        <f>IFERROR(GETPIVOTDATA("dato",'[1]evolucion mensual nacionali'!$A$4,"indicador","FRANCIA","mes",4,"año",2007),"-")</f>
        <v>4572</v>
      </c>
      <c r="L54" s="219">
        <f t="shared" si="29"/>
        <v>-7.8225806451612923E-2</v>
      </c>
      <c r="M54" s="218">
        <f>IFERROR(GETPIVOTDATA("dato",'[1]evolucion mensual nacionali'!$A$4,"indicador","REINO UNIDO","mes",4,"año",2007),"-")</f>
        <v>59137</v>
      </c>
      <c r="N54" s="219">
        <f t="shared" si="30"/>
        <v>-2.2690464386051934E-2</v>
      </c>
      <c r="O54" s="218">
        <f>IFERROR(GETPIVOTDATA("dato",'[1]evolucion mensual nacionali'!$A$4,"indicador","IRLANDA","mes",4,"año",2007),"-")</f>
        <v>1357</v>
      </c>
      <c r="P54" s="219">
        <f t="shared" si="31"/>
        <v>0.30230326295585419</v>
      </c>
      <c r="Q54" s="218">
        <f>IFERROR(GETPIVOTDATA("dato",'[1]evolucion mensual nacionali'!$A$4,"indicador","ITALIA","mes",4,"año",2007),"-")</f>
        <v>4048</v>
      </c>
      <c r="R54" s="219">
        <f t="shared" si="32"/>
        <v>9.1105121293800551E-2</v>
      </c>
      <c r="S54" s="218">
        <f t="shared" si="52"/>
        <v>9024</v>
      </c>
      <c r="T54" s="219">
        <f t="shared" si="33"/>
        <v>-0.14747283892300422</v>
      </c>
      <c r="U54" s="218">
        <f>IFERROR(GETPIVOTDATA("dato",'[1]evolucion mensual nacionali'!$A$4,"indicador","SUECIA","mes",4,"año",2007),"-")</f>
        <v>3418</v>
      </c>
      <c r="V54" s="219">
        <f t="shared" si="34"/>
        <v>-0.112668743509865</v>
      </c>
      <c r="W54" s="218">
        <f>IFERROR(GETPIVOTDATA("dato",'[1]evolucion mensual nacionali'!$A$4,"indicador","NORUEGA","mes",4,"año",2007),"-")</f>
        <v>1523</v>
      </c>
      <c r="X54" s="219">
        <f t="shared" si="35"/>
        <v>4.6016483516483575E-2</v>
      </c>
      <c r="Y54" s="218">
        <f>IFERROR(GETPIVOTDATA("dato",'[1]evolucion mensual nacionali'!$A$4,"indicador","DINAMARCA","mes",4,"año",2007),"-")</f>
        <v>2670</v>
      </c>
      <c r="Z54" s="219">
        <f t="shared" si="36"/>
        <v>-0.2325380856567979</v>
      </c>
      <c r="AA54" s="218">
        <f>IFERROR(GETPIVOTDATA("dato",'[1]evolucion mensual nacionali'!$A$4,"indicador","FINLANDIA","mes",4,"año",2007),"-")</f>
        <v>1413</v>
      </c>
      <c r="AB54" s="219">
        <f t="shared" si="37"/>
        <v>-0.21412680756395996</v>
      </c>
      <c r="AC54" s="218">
        <f>IFERROR(GETPIVOTDATA("dato",'[1]evolucion mensual nacionali'!$A$4,"indicador","SUIZA","mes",4,"año",2007),"-")</f>
        <v>877</v>
      </c>
      <c r="AD54" s="219">
        <f t="shared" si="38"/>
        <v>-6.0021436227224001E-2</v>
      </c>
      <c r="AE54" s="218">
        <f>IFERROR(GETPIVOTDATA("dato",'[1]evolucion mensual nacionali'!$A$4,"indicador","AUSTRIA","mes",4,"año",2007),"-")</f>
        <v>1090</v>
      </c>
      <c r="AF54" s="219">
        <f t="shared" si="39"/>
        <v>-0.19852941176470584</v>
      </c>
      <c r="AG54" s="218">
        <f>IFERROR(GETPIVOTDATA("dato",'[1]evolucion mensual nacionali'!$A$4,"indicador","RUSIA","mes",4,"año",2007),"-")</f>
        <v>3541</v>
      </c>
      <c r="AH54" s="219">
        <f t="shared" si="40"/>
        <v>-8.5721662793699971E-2</v>
      </c>
      <c r="AI54" s="218">
        <f>IFERROR(GETPIVOTDATA("dato",'[1]evolucion mensual nacionali'!$A$4,"indicador","PAÍSES DEL ESTE","mes",4,"año",2007),"-")</f>
        <v>2572</v>
      </c>
      <c r="AJ54" s="219">
        <f t="shared" si="41"/>
        <v>0.65614938828074698</v>
      </c>
      <c r="AK54" s="218">
        <f>IFERROR(GETPIVOTDATA("dato",'[1]evolucion mensual nacionali'!$A$4,"indicador","RESTO DE EUROPA","mes",4,"año",2007),"-")</f>
        <v>2639</v>
      </c>
      <c r="AL54" s="219">
        <f t="shared" si="42"/>
        <v>-5.4121863799283187E-2</v>
      </c>
      <c r="AM54" s="218">
        <f>IFERROR(GETPIVOTDATA("dato",'[1]evolucion mensual nacionali'!$A$4,"indicador","USA","mes",4,"año",2007),"-")</f>
        <v>344</v>
      </c>
      <c r="AN54" s="219">
        <f t="shared" si="43"/>
        <v>-0.44065040650406506</v>
      </c>
      <c r="AO54" s="218">
        <f>IFERROR(GETPIVOTDATA("dato",'[1]evolucion mensual nacionali'!$A$4,"indicador","RESTO DE AMÉRICA","mes",4,"año",2007),"-")</f>
        <v>228</v>
      </c>
      <c r="AP54" s="219">
        <f t="shared" si="44"/>
        <v>-0.21917808219178081</v>
      </c>
      <c r="AQ54" s="218">
        <f>IFERROR(GETPIVOTDATA("dato",'[1]evolucion mensual nacionali'!$A$4,"indicador","RESTO DEL MUNDO","mes",4,"año",2007),"-")</f>
        <v>803</v>
      </c>
      <c r="AR54" s="219">
        <f t="shared" si="45"/>
        <v>0.15873015873015883</v>
      </c>
      <c r="AS54" s="218">
        <f t="shared" si="53"/>
        <v>128202</v>
      </c>
      <c r="AT54" s="219">
        <f t="shared" si="46"/>
        <v>-4.964454888472114E-2</v>
      </c>
      <c r="AU54" s="205">
        <f>IFERROR(GETPIVOTDATA("dato",'[1]evolucion mensual nacionali'!$A$4,"indicador","TOTAL","mes",4,"año",2007),"-")</f>
        <v>160991</v>
      </c>
      <c r="AV54" s="206">
        <f t="shared" si="47"/>
        <v>-7.4987646660001572E-2</v>
      </c>
    </row>
    <row r="55" spans="2:48" hidden="1" outlineLevel="1">
      <c r="B55" s="51" t="s">
        <v>46</v>
      </c>
      <c r="C55" s="218">
        <f>IFERROR(GETPIVOTDATA("dato",'[1]evolucion mensual nacionali'!$A$4,"indicador","España","mes",3,"año",2007),"-")</f>
        <v>17116</v>
      </c>
      <c r="D55" s="219">
        <f t="shared" si="25"/>
        <v>-8.7341367175002627E-2</v>
      </c>
      <c r="E55" s="218">
        <f>IFERROR(GETPIVOTDATA("dato",'[1]evolucion mensual nacionali'!$A$4,"indicador","HOLANDA","mes",3,"año",2007),"-")</f>
        <v>5933</v>
      </c>
      <c r="F55" s="219">
        <f t="shared" si="26"/>
        <v>-3.1922043010752521E-3</v>
      </c>
      <c r="G55" s="218">
        <f>IFERROR(GETPIVOTDATA("dato",'[1]evolucion mensual nacionali'!$A$4,"indicador","BÉLGICA","mes",3,"año",2007),"-")</f>
        <v>5445</v>
      </c>
      <c r="H55" s="219">
        <f t="shared" si="27"/>
        <v>-1.5904572564612307E-2</v>
      </c>
      <c r="I55" s="218">
        <f>IFERROR(GETPIVOTDATA("dato",'[1]evolucion mensual nacionali'!$A$4,"indicador","ALEMANIA","mes",3,"año",2007),"-")</f>
        <v>27382</v>
      </c>
      <c r="J55" s="219">
        <f t="shared" si="28"/>
        <v>2.3060873384823655E-3</v>
      </c>
      <c r="K55" s="218">
        <f>IFERROR(GETPIVOTDATA("dato",'[1]evolucion mensual nacionali'!$A$4,"indicador","FRANCIA","mes",3,"año",2007),"-")</f>
        <v>4700</v>
      </c>
      <c r="L55" s="219">
        <f t="shared" si="29"/>
        <v>0.35018672795173811</v>
      </c>
      <c r="M55" s="218">
        <f>IFERROR(GETPIVOTDATA("dato",'[1]evolucion mensual nacionali'!$A$4,"indicador","REINO UNIDO","mes",3,"año",2007),"-")</f>
        <v>75541</v>
      </c>
      <c r="N55" s="219">
        <f t="shared" si="30"/>
        <v>8.1815317637623952E-2</v>
      </c>
      <c r="O55" s="218">
        <f>IFERROR(GETPIVOTDATA("dato",'[1]evolucion mensual nacionali'!$A$4,"indicador","IRLANDA","mes",3,"año",2007),"-")</f>
        <v>1543</v>
      </c>
      <c r="P55" s="219">
        <f t="shared" si="31"/>
        <v>0.69003285870755748</v>
      </c>
      <c r="Q55" s="218">
        <f>IFERROR(GETPIVOTDATA("dato",'[1]evolucion mensual nacionali'!$A$4,"indicador","ITALIA","mes",3,"año",2007),"-")</f>
        <v>4400</v>
      </c>
      <c r="R55" s="219">
        <f t="shared" si="32"/>
        <v>3.0203699367829628E-2</v>
      </c>
      <c r="S55" s="218">
        <f t="shared" si="52"/>
        <v>19775</v>
      </c>
      <c r="T55" s="219">
        <f t="shared" si="33"/>
        <v>-3.1254592661539182E-2</v>
      </c>
      <c r="U55" s="218">
        <f>IFERROR(GETPIVOTDATA("dato",'[1]evolucion mensual nacionali'!$A$4,"indicador","SUECIA","mes",3,"año",2007),"-")</f>
        <v>6272</v>
      </c>
      <c r="V55" s="219">
        <f t="shared" si="34"/>
        <v>-8.0217040621792024E-2</v>
      </c>
      <c r="W55" s="218">
        <f>IFERROR(GETPIVOTDATA("dato",'[1]evolucion mensual nacionali'!$A$4,"indicador","NORUEGA","mes",3,"año",2007),"-")</f>
        <v>3660</v>
      </c>
      <c r="X55" s="219">
        <f t="shared" si="35"/>
        <v>0.28286014721345953</v>
      </c>
      <c r="Y55" s="218">
        <f>IFERROR(GETPIVOTDATA("dato",'[1]evolucion mensual nacionali'!$A$4,"indicador","DINAMARCA","mes",3,"año",2007),"-")</f>
        <v>6160</v>
      </c>
      <c r="Z55" s="219">
        <f t="shared" si="36"/>
        <v>9.8430813124108507E-2</v>
      </c>
      <c r="AA55" s="218">
        <f>IFERROR(GETPIVOTDATA("dato",'[1]evolucion mensual nacionali'!$A$4,"indicador","FINLANDIA","mes",3,"año",2007),"-")</f>
        <v>3683</v>
      </c>
      <c r="AB55" s="219">
        <f t="shared" si="37"/>
        <v>-0.28248587570621464</v>
      </c>
      <c r="AC55" s="218">
        <f>IFERROR(GETPIVOTDATA("dato",'[1]evolucion mensual nacionali'!$A$4,"indicador","SUIZA","mes",3,"año",2007),"-")</f>
        <v>793</v>
      </c>
      <c r="AD55" s="219">
        <f t="shared" si="38"/>
        <v>-7.509386733416723E-3</v>
      </c>
      <c r="AE55" s="218">
        <f>IFERROR(GETPIVOTDATA("dato",'[1]evolucion mensual nacionali'!$A$4,"indicador","AUSTRIA","mes",3,"año",2007),"-")</f>
        <v>1338</v>
      </c>
      <c r="AF55" s="219">
        <f t="shared" si="39"/>
        <v>0.31822660098522171</v>
      </c>
      <c r="AG55" s="218">
        <f>IFERROR(GETPIVOTDATA("dato",'[1]evolucion mensual nacionali'!$A$4,"indicador","RUSIA","mes",3,"año",2007),"-")</f>
        <v>3155</v>
      </c>
      <c r="AH55" s="219">
        <f t="shared" si="40"/>
        <v>7.8263841421736258E-2</v>
      </c>
      <c r="AI55" s="218">
        <f>IFERROR(GETPIVOTDATA("dato",'[1]evolucion mensual nacionali'!$A$4,"indicador","PAÍSES DEL ESTE","mes",3,"año",2007),"-")</f>
        <v>2779</v>
      </c>
      <c r="AJ55" s="219">
        <f t="shared" si="41"/>
        <v>0.57808063600227144</v>
      </c>
      <c r="AK55" s="218">
        <f>IFERROR(GETPIVOTDATA("dato",'[1]evolucion mensual nacionali'!$A$4,"indicador","RESTO DE EUROPA","mes",3,"año",2007),"-")</f>
        <v>2552</v>
      </c>
      <c r="AL55" s="219">
        <f t="shared" si="42"/>
        <v>-5.094830792116023E-2</v>
      </c>
      <c r="AM55" s="218">
        <f>IFERROR(GETPIVOTDATA("dato",'[1]evolucion mensual nacionali'!$A$4,"indicador","USA","mes",3,"año",2007),"-")</f>
        <v>541</v>
      </c>
      <c r="AN55" s="219">
        <f t="shared" si="43"/>
        <v>-0.12175324675324672</v>
      </c>
      <c r="AO55" s="218">
        <f>IFERROR(GETPIVOTDATA("dato",'[1]evolucion mensual nacionali'!$A$4,"indicador","RESTO DE AMÉRICA","mes",3,"año",2007),"-")</f>
        <v>251</v>
      </c>
      <c r="AP55" s="219">
        <f t="shared" si="44"/>
        <v>-0.53518518518518521</v>
      </c>
      <c r="AQ55" s="218">
        <f>IFERROR(GETPIVOTDATA("dato",'[1]evolucion mensual nacionali'!$A$4,"indicador","RESTO DEL MUNDO","mes",3,"año",2007),"-")</f>
        <v>1107</v>
      </c>
      <c r="AR55" s="219">
        <f t="shared" si="45"/>
        <v>0.17891373801916943</v>
      </c>
      <c r="AS55" s="218">
        <f t="shared" si="53"/>
        <v>157235</v>
      </c>
      <c r="AT55" s="219">
        <f t="shared" si="46"/>
        <v>5.530386925735753E-2</v>
      </c>
      <c r="AU55" s="205">
        <f>IFERROR(GETPIVOTDATA("dato",'[1]evolucion mensual nacionali'!$A$4,"indicador","TOTAL","mes",3,"año",2007),"-")</f>
        <v>174351</v>
      </c>
      <c r="AV55" s="206">
        <f t="shared" si="47"/>
        <v>3.9356419412336363E-2</v>
      </c>
    </row>
    <row r="56" spans="2:48" hidden="1" outlineLevel="1">
      <c r="B56" s="51" t="s">
        <v>47</v>
      </c>
      <c r="C56" s="218">
        <f>IFERROR(GETPIVOTDATA("dato",'[1]evolucion mensual nacionali'!$A$4,"indicador","España","mes",2,"año",2007),"-")</f>
        <v>16706</v>
      </c>
      <c r="D56" s="219">
        <f t="shared" si="25"/>
        <v>2.8757928443869707E-2</v>
      </c>
      <c r="E56" s="218">
        <f>IFERROR(GETPIVOTDATA("dato",'[1]evolucion mensual nacionali'!$A$4,"indicador","HOLANDA","mes",2,"año",2007),"-")</f>
        <v>5688</v>
      </c>
      <c r="F56" s="219">
        <f t="shared" si="26"/>
        <v>-9.4267515923566858E-2</v>
      </c>
      <c r="G56" s="218">
        <f>IFERROR(GETPIVOTDATA("dato",'[1]evolucion mensual nacionali'!$A$4,"indicador","BÉLGICA","mes",2,"año",2007),"-")</f>
        <v>5538</v>
      </c>
      <c r="H56" s="219">
        <f t="shared" si="27"/>
        <v>9.0366889571669162E-4</v>
      </c>
      <c r="I56" s="218">
        <f>IFERROR(GETPIVOTDATA("dato",'[1]evolucion mensual nacionali'!$A$4,"indicador","ALEMANIA","mes",2,"año",2007),"-")</f>
        <v>20585</v>
      </c>
      <c r="J56" s="219">
        <f t="shared" si="28"/>
        <v>-0.14691255698300876</v>
      </c>
      <c r="K56" s="218">
        <f>IFERROR(GETPIVOTDATA("dato",'[1]evolucion mensual nacionali'!$A$4,"indicador","FRANCIA","mes",2,"año",2007),"-")</f>
        <v>4402</v>
      </c>
      <c r="L56" s="219">
        <f t="shared" si="29"/>
        <v>4.3127962085308003E-2</v>
      </c>
      <c r="M56" s="218">
        <f>IFERROR(GETPIVOTDATA("dato",'[1]evolucion mensual nacionali'!$A$4,"indicador","REINO UNIDO","mes",2,"año",2007),"-")</f>
        <v>62483</v>
      </c>
      <c r="N56" s="219">
        <f t="shared" si="30"/>
        <v>5.1813820385489429E-2</v>
      </c>
      <c r="O56" s="218">
        <f>IFERROR(GETPIVOTDATA("dato",'[1]evolucion mensual nacionali'!$A$4,"indicador","IRLANDA","mes",2,"año",2007),"-")</f>
        <v>1293</v>
      </c>
      <c r="P56" s="219">
        <f t="shared" si="31"/>
        <v>0.32208588957055206</v>
      </c>
      <c r="Q56" s="218">
        <f>IFERROR(GETPIVOTDATA("dato",'[1]evolucion mensual nacionali'!$A$4,"indicador","ITALIA","mes",2,"año",2007),"-")</f>
        <v>4892</v>
      </c>
      <c r="R56" s="219">
        <f t="shared" si="32"/>
        <v>-9.222490257932825E-2</v>
      </c>
      <c r="S56" s="218">
        <f t="shared" si="52"/>
        <v>19570</v>
      </c>
      <c r="T56" s="219">
        <f t="shared" si="33"/>
        <v>1.8942302769671127E-3</v>
      </c>
      <c r="U56" s="218">
        <f>IFERROR(GETPIVOTDATA("dato",'[1]evolucion mensual nacionali'!$A$4,"indicador","SUECIA","mes",2,"año",2007),"-")</f>
        <v>6155</v>
      </c>
      <c r="V56" s="219">
        <f t="shared" si="34"/>
        <v>2.4808524808524801E-2</v>
      </c>
      <c r="W56" s="218">
        <f>IFERROR(GETPIVOTDATA("dato",'[1]evolucion mensual nacionali'!$A$4,"indicador","NORUEGA","mes",2,"año",2007),"-")</f>
        <v>3366</v>
      </c>
      <c r="X56" s="219">
        <f t="shared" si="35"/>
        <v>6.9590085795996126E-2</v>
      </c>
      <c r="Y56" s="218">
        <f>IFERROR(GETPIVOTDATA("dato",'[1]evolucion mensual nacionali'!$A$4,"indicador","DINAMARCA","mes",2,"año",2007),"-")</f>
        <v>6227</v>
      </c>
      <c r="Z56" s="219">
        <f t="shared" si="36"/>
        <v>0.11554998208527412</v>
      </c>
      <c r="AA56" s="218">
        <f>IFERROR(GETPIVOTDATA("dato",'[1]evolucion mensual nacionali'!$A$4,"indicador","FINLANDIA","mes",2,"año",2007),"-")</f>
        <v>3822</v>
      </c>
      <c r="AB56" s="219">
        <f t="shared" si="37"/>
        <v>-0.20341809087119633</v>
      </c>
      <c r="AC56" s="218">
        <f>IFERROR(GETPIVOTDATA("dato",'[1]evolucion mensual nacionali'!$A$4,"indicador","SUIZA","mes",2,"año",2007),"-")</f>
        <v>736</v>
      </c>
      <c r="AD56" s="219">
        <f t="shared" si="38"/>
        <v>0.20458265139116194</v>
      </c>
      <c r="AE56" s="218">
        <f>IFERROR(GETPIVOTDATA("dato",'[1]evolucion mensual nacionali'!$A$4,"indicador","AUSTRIA","mes",2,"año",2007),"-")</f>
        <v>1222</v>
      </c>
      <c r="AF56" s="219">
        <f t="shared" si="39"/>
        <v>1.9182652210175233E-2</v>
      </c>
      <c r="AG56" s="218">
        <f>IFERROR(GETPIVOTDATA("dato",'[1]evolucion mensual nacionali'!$A$4,"indicador","RUSIA","mes",2,"año",2007),"-")</f>
        <v>2155</v>
      </c>
      <c r="AH56" s="219">
        <f t="shared" si="40"/>
        <v>0.12473903966597066</v>
      </c>
      <c r="AI56" s="218">
        <f>IFERROR(GETPIVOTDATA("dato",'[1]evolucion mensual nacionali'!$A$4,"indicador","PAÍSES DEL ESTE","mes",2,"año",2007),"-")</f>
        <v>2455</v>
      </c>
      <c r="AJ56" s="219">
        <f t="shared" si="41"/>
        <v>0.55972045743329102</v>
      </c>
      <c r="AK56" s="218">
        <f>IFERROR(GETPIVOTDATA("dato",'[1]evolucion mensual nacionali'!$A$4,"indicador","RESTO DE EUROPA","mes",2,"año",2007),"-")</f>
        <v>2379</v>
      </c>
      <c r="AL56" s="219">
        <f t="shared" si="42"/>
        <v>0.20273003033367032</v>
      </c>
      <c r="AM56" s="218">
        <f>IFERROR(GETPIVOTDATA("dato",'[1]evolucion mensual nacionali'!$A$4,"indicador","USA","mes",2,"año",2007),"-")</f>
        <v>298</v>
      </c>
      <c r="AN56" s="219">
        <f t="shared" si="43"/>
        <v>-0.62749999999999995</v>
      </c>
      <c r="AO56" s="218">
        <f>IFERROR(GETPIVOTDATA("dato",'[1]evolucion mensual nacionali'!$A$4,"indicador","RESTO DE AMÉRICA","mes",2,"año",2007),"-")</f>
        <v>210</v>
      </c>
      <c r="AP56" s="219">
        <f t="shared" si="44"/>
        <v>0.2068965517241379</v>
      </c>
      <c r="AQ56" s="218">
        <f>IFERROR(GETPIVOTDATA("dato",'[1]evolucion mensual nacionali'!$A$4,"indicador","RESTO DEL MUNDO","mes",2,"año",2007),"-")</f>
        <v>799</v>
      </c>
      <c r="AR56" s="219">
        <f t="shared" si="45"/>
        <v>1.653944020356235E-2</v>
      </c>
      <c r="AS56" s="218">
        <f t="shared" si="53"/>
        <v>134705</v>
      </c>
      <c r="AT56" s="219">
        <f t="shared" si="46"/>
        <v>1.4794879038853015E-3</v>
      </c>
      <c r="AU56" s="205">
        <f>IFERROR(GETPIVOTDATA("dato",'[1]evolucion mensual nacionali'!$A$4,"indicador","TOTAL","mes",2,"año",2007),"-")</f>
        <v>151411</v>
      </c>
      <c r="AV56" s="206">
        <f t="shared" si="47"/>
        <v>4.4180569836478334E-3</v>
      </c>
    </row>
    <row r="57" spans="2:48" hidden="1" outlineLevel="1">
      <c r="B57" s="51" t="s">
        <v>48</v>
      </c>
      <c r="C57" s="218">
        <f>IFERROR(GETPIVOTDATA("dato",'[1]evolucion mensual nacionali'!$A$4,"indicador","España","mes",1,"año",2007),"-")</f>
        <v>14041</v>
      </c>
      <c r="D57" s="219">
        <f t="shared" si="25"/>
        <v>-0.13343208047892363</v>
      </c>
      <c r="E57" s="218">
        <f>IFERROR(GETPIVOTDATA("dato",'[1]evolucion mensual nacionali'!$A$4,"indicador","HOLANDA","mes",1,"año",2007),"-")</f>
        <v>4588</v>
      </c>
      <c r="F57" s="219">
        <f t="shared" si="26"/>
        <v>-0.20691443388072606</v>
      </c>
      <c r="G57" s="218">
        <f>IFERROR(GETPIVOTDATA("dato",'[1]evolucion mensual nacionali'!$A$4,"indicador","BÉLGICA","mes",1,"año",2007),"-")</f>
        <v>5566</v>
      </c>
      <c r="H57" s="219">
        <f t="shared" si="27"/>
        <v>-5.5008488964346403E-2</v>
      </c>
      <c r="I57" s="218">
        <f>IFERROR(GETPIVOTDATA("dato",'[1]evolucion mensual nacionali'!$A$4,"indicador","ALEMANIA","mes",1,"año",2007),"-")</f>
        <v>20145</v>
      </c>
      <c r="J57" s="219">
        <f t="shared" si="28"/>
        <v>-0.15929388197980132</v>
      </c>
      <c r="K57" s="218">
        <f>IFERROR(GETPIVOTDATA("dato",'[1]evolucion mensual nacionali'!$A$4,"indicador","FRANCIA","mes",1,"año",2007),"-")</f>
        <v>3349</v>
      </c>
      <c r="L57" s="219">
        <f t="shared" si="29"/>
        <v>0.15125472671020979</v>
      </c>
      <c r="M57" s="218">
        <f>IFERROR(GETPIVOTDATA("dato",'[1]evolucion mensual nacionali'!$A$4,"indicador","REINO UNIDO","mes",1,"año",2007),"-")</f>
        <v>58534</v>
      </c>
      <c r="N57" s="219">
        <f t="shared" si="30"/>
        <v>3.4626601855943351E-2</v>
      </c>
      <c r="O57" s="218">
        <f>IFERROR(GETPIVOTDATA("dato",'[1]evolucion mensual nacionali'!$A$4,"indicador","IRLANDA","mes",1,"año",2007),"-")</f>
        <v>1196</v>
      </c>
      <c r="P57" s="219">
        <f t="shared" si="31"/>
        <v>0.44969696969696971</v>
      </c>
      <c r="Q57" s="218">
        <f>IFERROR(GETPIVOTDATA("dato",'[1]evolucion mensual nacionali'!$A$4,"indicador","ITALIA","mes",1,"año",2007),"-")</f>
        <v>7260</v>
      </c>
      <c r="R57" s="219">
        <f t="shared" si="32"/>
        <v>-5.5302537410540031E-2</v>
      </c>
      <c r="S57" s="218">
        <f t="shared" si="52"/>
        <v>18739</v>
      </c>
      <c r="T57" s="219">
        <f t="shared" si="33"/>
        <v>-0.14261530014641288</v>
      </c>
      <c r="U57" s="218">
        <f>IFERROR(GETPIVOTDATA("dato",'[1]evolucion mensual nacionali'!$A$4,"indicador","SUECIA","mes",1,"año",2007),"-")</f>
        <v>5678</v>
      </c>
      <c r="V57" s="219">
        <f t="shared" si="34"/>
        <v>-0.30185663346858482</v>
      </c>
      <c r="W57" s="218">
        <f>IFERROR(GETPIVOTDATA("dato",'[1]evolucion mensual nacionali'!$A$4,"indicador","NORUEGA","mes",1,"año",2007),"-")</f>
        <v>2928</v>
      </c>
      <c r="X57" s="219">
        <f t="shared" si="35"/>
        <v>-0.11165048543689315</v>
      </c>
      <c r="Y57" s="218">
        <f>IFERROR(GETPIVOTDATA("dato",'[1]evolucion mensual nacionali'!$A$4,"indicador","DINAMARCA","mes",1,"año",2007),"-")</f>
        <v>6329</v>
      </c>
      <c r="Z57" s="219">
        <f t="shared" si="36"/>
        <v>0.15492700729927011</v>
      </c>
      <c r="AA57" s="218">
        <f>IFERROR(GETPIVOTDATA("dato",'[1]evolucion mensual nacionali'!$A$4,"indicador","FINLANDIA","mes",1,"año",2007),"-")</f>
        <v>3804</v>
      </c>
      <c r="AB57" s="219">
        <f t="shared" si="37"/>
        <v>-0.23104912067919947</v>
      </c>
      <c r="AC57" s="218">
        <f>IFERROR(GETPIVOTDATA("dato",'[1]evolucion mensual nacionali'!$A$4,"indicador","SUIZA","mes",1,"año",2007),"-")</f>
        <v>791</v>
      </c>
      <c r="AD57" s="219">
        <f t="shared" si="38"/>
        <v>-1.6169154228855676E-2</v>
      </c>
      <c r="AE57" s="218">
        <f>IFERROR(GETPIVOTDATA("dato",'[1]evolucion mensual nacionali'!$A$4,"indicador","AUSTRIA","mes",1,"año",2007),"-")</f>
        <v>1528</v>
      </c>
      <c r="AF57" s="219">
        <f t="shared" si="39"/>
        <v>0.38030713640469749</v>
      </c>
      <c r="AG57" s="218">
        <f>IFERROR(GETPIVOTDATA("dato",'[1]evolucion mensual nacionali'!$A$4,"indicador","RUSIA","mes",1,"año",2007),"-")</f>
        <v>3578</v>
      </c>
      <c r="AH57" s="219">
        <f t="shared" si="40"/>
        <v>0.16623207301173393</v>
      </c>
      <c r="AI57" s="218">
        <f>IFERROR(GETPIVOTDATA("dato",'[1]evolucion mensual nacionali'!$A$4,"indicador","PAÍSES DEL ESTE","mes",1,"año",2007),"-")</f>
        <v>3247</v>
      </c>
      <c r="AJ57" s="219">
        <f t="shared" si="41"/>
        <v>0.59479371316306473</v>
      </c>
      <c r="AK57" s="218">
        <f>IFERROR(GETPIVOTDATA("dato",'[1]evolucion mensual nacionali'!$A$4,"indicador","RESTO DE EUROPA","mes",1,"año",2007),"-")</f>
        <v>2483</v>
      </c>
      <c r="AL57" s="219">
        <f t="shared" si="42"/>
        <v>9.3495934959348936E-3</v>
      </c>
      <c r="AM57" s="218">
        <f>IFERROR(GETPIVOTDATA("dato",'[1]evolucion mensual nacionali'!$A$4,"indicador","USA","mes",1,"año",2007),"-")</f>
        <v>274</v>
      </c>
      <c r="AN57" s="219">
        <f t="shared" si="43"/>
        <v>-0.27704485488126651</v>
      </c>
      <c r="AO57" s="218">
        <f>IFERROR(GETPIVOTDATA("dato",'[1]evolucion mensual nacionali'!$A$4,"indicador","RESTO DE AMÉRICA","mes",1,"año",2007),"-")</f>
        <v>195</v>
      </c>
      <c r="AP57" s="219">
        <f t="shared" si="44"/>
        <v>0.40287769784172656</v>
      </c>
      <c r="AQ57" s="218">
        <f>IFERROR(GETPIVOTDATA("dato",'[1]evolucion mensual nacionali'!$A$4,"indicador","RESTO DEL MUNDO","mes",1,"año",2007),"-")</f>
        <v>730</v>
      </c>
      <c r="AR57" s="219">
        <f t="shared" si="45"/>
        <v>-0.25888324873096447</v>
      </c>
      <c r="AS57" s="218">
        <f t="shared" si="53"/>
        <v>132203</v>
      </c>
      <c r="AT57" s="219">
        <f t="shared" si="46"/>
        <v>-3.1231451287875966E-2</v>
      </c>
      <c r="AU57" s="205">
        <f>IFERROR(GETPIVOTDATA("dato",'[1]evolucion mensual nacionali'!$A$4,"indicador","TOTAL","mes",1,"año",2007),"-")</f>
        <v>146244</v>
      </c>
      <c r="AV57" s="206">
        <f t="shared" si="47"/>
        <v>-4.2078235124584085E-2</v>
      </c>
    </row>
    <row r="58" spans="2:48" collapsed="1">
      <c r="B58" s="215">
        <v>2007</v>
      </c>
      <c r="C58" s="216">
        <f>GETPIVOTDATA("dato",'[1]evolucion mensual nacionali'!$A$4,"indicador","España","año",2007)</f>
        <v>354826</v>
      </c>
      <c r="D58" s="217">
        <f t="shared" si="25"/>
        <v>-3.1493268989311152E-2</v>
      </c>
      <c r="E58" s="216">
        <f>GETPIVOTDATA("dato",'[1]evolucion mensual nacionali'!$A$4,"indicador","HOLANDA","año",2007)</f>
        <v>66762</v>
      </c>
      <c r="F58" s="217">
        <f t="shared" si="26"/>
        <v>-5.0840228610423921E-2</v>
      </c>
      <c r="G58" s="216">
        <f>GETPIVOTDATA("dato",'[1]evolucion mensual nacionali'!$A$4,"indicador","BÉLGICA","año",2007)</f>
        <v>64965</v>
      </c>
      <c r="H58" s="217">
        <f t="shared" si="27"/>
        <v>-1.4860868905906433E-2</v>
      </c>
      <c r="I58" s="216">
        <f>GETPIVOTDATA("dato",'[1]evolucion mensual nacionali'!$A$4,"indicador","ALEMANIA","año",2007)</f>
        <v>264072</v>
      </c>
      <c r="J58" s="217">
        <f t="shared" si="28"/>
        <v>-5.2336931557188771E-2</v>
      </c>
      <c r="K58" s="216">
        <f>GETPIVOTDATA("dato",'[1]evolucion mensual nacionali'!$A$4,"indicador","FRANCIA","año",2007)</f>
        <v>40760</v>
      </c>
      <c r="L58" s="217">
        <f t="shared" si="29"/>
        <v>6.9423309020307578E-2</v>
      </c>
      <c r="M58" s="216">
        <f>GETPIVOTDATA("dato",'[1]evolucion mensual nacionali'!$A$4,"indicador","REINO UNIDO","año",2007)</f>
        <v>704312</v>
      </c>
      <c r="N58" s="217">
        <f t="shared" si="30"/>
        <v>-6.8991043008364783E-2</v>
      </c>
      <c r="O58" s="216">
        <f>GETPIVOTDATA("dato",'[1]evolucion mensual nacionali'!$A$4,"indicador","IRLANDA","año",2007)</f>
        <v>17985</v>
      </c>
      <c r="P58" s="217">
        <f t="shared" si="31"/>
        <v>0.17595135347194968</v>
      </c>
      <c r="Q58" s="216">
        <f>GETPIVOTDATA("dato",'[1]evolucion mensual nacionali'!$A$4,"indicador","ITALIA","año",2007)</f>
        <v>54371</v>
      </c>
      <c r="R58" s="217">
        <f t="shared" si="32"/>
        <v>-9.9236261824688143E-2</v>
      </c>
      <c r="S58" s="216">
        <f t="shared" si="52"/>
        <v>127617</v>
      </c>
      <c r="T58" s="217">
        <f t="shared" si="33"/>
        <v>2.2178969627066447E-2</v>
      </c>
      <c r="U58" s="216">
        <f>GETPIVOTDATA("dato",'[1]evolucion mensual nacionali'!$A$4,"indicador","SUECIA","año",2007)</f>
        <v>40228</v>
      </c>
      <c r="V58" s="217">
        <f t="shared" si="34"/>
        <v>-6.2131350103746485E-2</v>
      </c>
      <c r="W58" s="216">
        <f>GETPIVOTDATA("dato",'[1]evolucion mensual nacionali'!$A$4,"indicador","NORUEGA","año",2007)</f>
        <v>23365</v>
      </c>
      <c r="X58" s="217">
        <f t="shared" si="35"/>
        <v>0.16871748699479783</v>
      </c>
      <c r="Y58" s="216">
        <f>GETPIVOTDATA("dato",'[1]evolucion mensual nacionali'!$A$4,"indicador","DINAMARCA","año",2007)</f>
        <v>39825</v>
      </c>
      <c r="Z58" s="217">
        <f t="shared" si="36"/>
        <v>0.10563575791227087</v>
      </c>
      <c r="AA58" s="216">
        <f>GETPIVOTDATA("dato",'[1]evolucion mensual nacionali'!$A$4,"indicador","FINLANDIA","año",2007)</f>
        <v>24199</v>
      </c>
      <c r="AB58" s="217">
        <f t="shared" si="37"/>
        <v>-6.7224299425663991E-2</v>
      </c>
      <c r="AC58" s="216">
        <f>GETPIVOTDATA("dato",'[1]evolucion mensual nacionali'!$A$4,"indicador","SUIZA","año",2007)</f>
        <v>10944</v>
      </c>
      <c r="AD58" s="217">
        <f t="shared" si="38"/>
        <v>-9.5312887492766785E-2</v>
      </c>
      <c r="AE58" s="216">
        <f>GETPIVOTDATA("dato",'[1]evolucion mensual nacionali'!$A$4,"indicador","AUSTRIA","año",2007)</f>
        <v>14482</v>
      </c>
      <c r="AF58" s="217">
        <f t="shared" si="39"/>
        <v>6.603183429484849E-3</v>
      </c>
      <c r="AG58" s="216">
        <f>GETPIVOTDATA("dato",'[1]evolucion mensual nacionali'!$A$4,"indicador","RUSIA","año",2007)</f>
        <v>48057</v>
      </c>
      <c r="AH58" s="217">
        <f t="shared" si="40"/>
        <v>0.12987562598452973</v>
      </c>
      <c r="AI58" s="216">
        <f>GETPIVOTDATA("dato",'[1]evolucion mensual nacionali'!$A$4,"indicador","PAÍSES DEL ESTE","año",2007)</f>
        <v>38572</v>
      </c>
      <c r="AJ58" s="217">
        <f t="shared" si="41"/>
        <v>0.17190253387616217</v>
      </c>
      <c r="AK58" s="216">
        <f>GETPIVOTDATA("dato",'[1]evolucion mensual nacionali'!$A$4,"indicador","RESTO DE EUROPA","año",2007)</f>
        <v>44372</v>
      </c>
      <c r="AL58" s="217">
        <f t="shared" si="42"/>
        <v>0.33301288791420069</v>
      </c>
      <c r="AM58" s="216">
        <f>GETPIVOTDATA("dato",'[1]evolucion mensual nacionali'!$A$4,"indicador","USA","año",2007)</f>
        <v>3597</v>
      </c>
      <c r="AN58" s="217">
        <f t="shared" si="43"/>
        <v>-0.32196041470311032</v>
      </c>
      <c r="AO58" s="216">
        <f>GETPIVOTDATA("dato",'[1]evolucion mensual nacionali'!$A$4,"indicador","RESTO DE AMÉRICA","año",2007)</f>
        <v>2749</v>
      </c>
      <c r="AP58" s="217">
        <f t="shared" si="44"/>
        <v>-0.12116368286445012</v>
      </c>
      <c r="AQ58" s="216">
        <f>GETPIVOTDATA("dato",'[1]evolucion mensual nacionali'!$A$4,"indicador","RESTO DEL MUNDO","año",2007)</f>
        <v>9739</v>
      </c>
      <c r="AR58" s="217">
        <f t="shared" si="45"/>
        <v>-0.14148448519040902</v>
      </c>
      <c r="AS58" s="216">
        <f t="shared" si="53"/>
        <v>1513356</v>
      </c>
      <c r="AT58" s="217">
        <f t="shared" si="46"/>
        <v>-3.3033343876093801E-2</v>
      </c>
      <c r="AU58" s="213">
        <f>GETPIVOTDATA("dato",'[1]evolucion mensual nacionali'!$A$4,"indicador","TOTAL","año",2007)</f>
        <v>1868182</v>
      </c>
      <c r="AV58" s="214">
        <f t="shared" si="47"/>
        <v>-3.2741212548908383E-2</v>
      </c>
    </row>
    <row r="59" spans="2:48" hidden="1" outlineLevel="1">
      <c r="B59" s="51" t="s">
        <v>37</v>
      </c>
      <c r="C59" s="218">
        <f>IFERROR(GETPIVOTDATA("dato",'[1]evolucion mensual nacionali'!$A$4,"indicador","España","mes",12,"año",2006),"-")</f>
        <v>21017</v>
      </c>
      <c r="D59" s="219" t="str">
        <f t="shared" si="25"/>
        <v>-</v>
      </c>
      <c r="E59" s="218">
        <f>IFERROR(GETPIVOTDATA("dato",'[1]evolucion mensual nacionali'!$A$4,"indicador","HOLANDA","mes",12,"año",2006),"-")</f>
        <v>4555</v>
      </c>
      <c r="F59" s="219" t="str">
        <f t="shared" si="26"/>
        <v>-</v>
      </c>
      <c r="G59" s="218">
        <f>IFERROR(GETPIVOTDATA("dato",'[1]evolucion mensual nacionali'!$A$4,"indicador","BÉLGICA","mes",12,"año",2006),"-")</f>
        <v>5884</v>
      </c>
      <c r="H59" s="219" t="str">
        <f t="shared" si="27"/>
        <v>-</v>
      </c>
      <c r="I59" s="218">
        <f>IFERROR(GETPIVOTDATA("dato",'[1]evolucion mensual nacionali'!$A$4,"indicador","ALEMANIA","mes",12,"año",2006),"-")</f>
        <v>18931</v>
      </c>
      <c r="J59" s="219" t="str">
        <f t="shared" si="28"/>
        <v>-</v>
      </c>
      <c r="K59" s="218">
        <f>IFERROR(GETPIVOTDATA("dato",'[1]evolucion mensual nacionali'!$A$4,"indicador","FRANCIA","mes",12,"año",2006),"-")</f>
        <v>2985</v>
      </c>
      <c r="L59" s="219" t="str">
        <f t="shared" si="29"/>
        <v>-</v>
      </c>
      <c r="M59" s="218">
        <f>IFERROR(GETPIVOTDATA("dato",'[1]evolucion mensual nacionali'!$A$4,"indicador","REINO UNIDO","mes",12,"año",2006),"-")</f>
        <v>69764</v>
      </c>
      <c r="N59" s="219" t="str">
        <f t="shared" si="30"/>
        <v>-</v>
      </c>
      <c r="O59" s="218">
        <f>IFERROR(GETPIVOTDATA("dato",'[1]evolucion mensual nacionali'!$A$4,"indicador","IRLANDA","mes",12,"año",2006),"-")</f>
        <v>1272</v>
      </c>
      <c r="P59" s="219" t="str">
        <f t="shared" si="31"/>
        <v>-</v>
      </c>
      <c r="Q59" s="218">
        <f>IFERROR(GETPIVOTDATA("dato",'[1]evolucion mensual nacionali'!$A$4,"indicador","ITALIA","mes",12,"año",2006),"-")</f>
        <v>5050</v>
      </c>
      <c r="R59" s="219" t="str">
        <f t="shared" si="32"/>
        <v>-</v>
      </c>
      <c r="S59" s="218">
        <f>U59+W59+Y59+AA59</f>
        <v>16822</v>
      </c>
      <c r="T59" s="219" t="str">
        <f t="shared" si="33"/>
        <v>-</v>
      </c>
      <c r="U59" s="218">
        <f>IFERROR(GETPIVOTDATA("dato",'[1]evolucion mensual nacionali'!$A$4,"indicador","SUECIA","mes",12,"año",2006),"-")</f>
        <v>5848</v>
      </c>
      <c r="V59" s="219" t="str">
        <f t="shared" si="34"/>
        <v>-</v>
      </c>
      <c r="W59" s="218">
        <f>IFERROR(GETPIVOTDATA("dato",'[1]evolucion mensual nacionali'!$A$4,"indicador","NORUEGA","mes",12,"año",2006),"-")</f>
        <v>2506</v>
      </c>
      <c r="X59" s="219" t="str">
        <f t="shared" si="35"/>
        <v>-</v>
      </c>
      <c r="Y59" s="218">
        <f>IFERROR(GETPIVOTDATA("dato",'[1]evolucion mensual nacionali'!$A$4,"indicador","DINAMARCA","mes",12,"año",2006),"-")</f>
        <v>4855</v>
      </c>
      <c r="Z59" s="219" t="str">
        <f t="shared" si="36"/>
        <v>-</v>
      </c>
      <c r="AA59" s="218">
        <f>IFERROR(GETPIVOTDATA("dato",'[1]evolucion mensual nacionali'!$A$4,"indicador","FINLANDIA","mes",12,"año",2006),"-")</f>
        <v>3613</v>
      </c>
      <c r="AB59" s="219" t="str">
        <f t="shared" si="37"/>
        <v>-</v>
      </c>
      <c r="AC59" s="218">
        <f>IFERROR(GETPIVOTDATA("dato",'[1]evolucion mensual nacionali'!$A$4,"indicador","SUIZA","mes",12,"año",2006),"-")</f>
        <v>1101</v>
      </c>
      <c r="AD59" s="219" t="str">
        <f t="shared" si="38"/>
        <v>-</v>
      </c>
      <c r="AE59" s="218">
        <f>IFERROR(GETPIVOTDATA("dato",'[1]evolucion mensual nacionali'!$A$4,"indicador","AUSTRIA","mes",12,"año",2006),"-")</f>
        <v>1174</v>
      </c>
      <c r="AF59" s="219" t="str">
        <f t="shared" si="39"/>
        <v>-</v>
      </c>
      <c r="AG59" s="218">
        <f>IFERROR(GETPIVOTDATA("dato",'[1]evolucion mensual nacionali'!$A$4,"indicador","RUSIA","mes",12,"año",2006),"-")</f>
        <v>4096</v>
      </c>
      <c r="AH59" s="219" t="str">
        <f t="shared" si="40"/>
        <v>-</v>
      </c>
      <c r="AI59" s="218">
        <f>IFERROR(GETPIVOTDATA("dato",'[1]evolucion mensual nacionali'!$A$4,"indicador","PAÍSES DEL ESTE","mes",12,"año",2006),"-")</f>
        <v>2891</v>
      </c>
      <c r="AJ59" s="219" t="str">
        <f t="shared" si="41"/>
        <v>-</v>
      </c>
      <c r="AK59" s="218">
        <f>IFERROR(GETPIVOTDATA("dato",'[1]evolucion mensual nacionali'!$A$4,"indicador","RESTO DE EUROPA","mes",12,"año",2006),"-")</f>
        <v>2780</v>
      </c>
      <c r="AL59" s="219" t="str">
        <f t="shared" si="42"/>
        <v>-</v>
      </c>
      <c r="AM59" s="218">
        <f>IFERROR(GETPIVOTDATA("dato",'[1]evolucion mensual nacionali'!$A$4,"indicador","USA","mes",12,"año",2006),"-")</f>
        <v>325</v>
      </c>
      <c r="AN59" s="219" t="str">
        <f t="shared" si="43"/>
        <v>-</v>
      </c>
      <c r="AO59" s="218">
        <f>IFERROR(GETPIVOTDATA("dato",'[1]evolucion mensual nacionali'!$A$4,"indicador","RESTO DE AMÉRICA","mes",12,"año",2006),"-")</f>
        <v>174</v>
      </c>
      <c r="AP59" s="219" t="str">
        <f t="shared" si="44"/>
        <v>-</v>
      </c>
      <c r="AQ59" s="218">
        <f>IFERROR(GETPIVOTDATA("dato",'[1]evolucion mensual nacionali'!$A$4,"indicador","RESTO DEL MUNDO","mes",12,"año",2006),"-")</f>
        <v>1028</v>
      </c>
      <c r="AR59" s="219" t="str">
        <f t="shared" si="45"/>
        <v>-</v>
      </c>
      <c r="AS59" s="218">
        <f>AU59-C59</f>
        <v>138832</v>
      </c>
      <c r="AT59" s="219" t="str">
        <f t="shared" si="46"/>
        <v>-</v>
      </c>
      <c r="AU59" s="205">
        <f>IFERROR(GETPIVOTDATA("dato",'[1]evolucion mensual nacionali'!$A$4,"indicador","TOTAL","mes",12,"año",2006),"-")</f>
        <v>159849</v>
      </c>
      <c r="AV59" s="206" t="str">
        <f t="shared" si="47"/>
        <v>-</v>
      </c>
    </row>
    <row r="60" spans="2:48" hidden="1" outlineLevel="1">
      <c r="B60" s="51" t="s">
        <v>38</v>
      </c>
      <c r="C60" s="218">
        <f>IFERROR(GETPIVOTDATA("dato",'[1]evolucion mensual nacionali'!$A$4,"indicador","España","mes",11,"año",2006),"-")</f>
        <v>17258</v>
      </c>
      <c r="D60" s="219" t="str">
        <f t="shared" si="25"/>
        <v>-</v>
      </c>
      <c r="E60" s="218">
        <f>IFERROR(GETPIVOTDATA("dato",'[1]evolucion mensual nacionali'!$A$4,"indicador","HOLANDA","mes",11,"año",2006),"-")</f>
        <v>3986</v>
      </c>
      <c r="F60" s="219" t="str">
        <f t="shared" si="26"/>
        <v>-</v>
      </c>
      <c r="G60" s="218">
        <f>IFERROR(GETPIVOTDATA("dato",'[1]evolucion mensual nacionali'!$A$4,"indicador","BÉLGICA","mes",11,"año",2006),"-")</f>
        <v>4655</v>
      </c>
      <c r="H60" s="219" t="str">
        <f t="shared" si="27"/>
        <v>-</v>
      </c>
      <c r="I60" s="218">
        <f>IFERROR(GETPIVOTDATA("dato",'[1]evolucion mensual nacionali'!$A$4,"indicador","ALEMANIA","mes",11,"año",2006),"-")</f>
        <v>25459</v>
      </c>
      <c r="J60" s="219" t="str">
        <f t="shared" si="28"/>
        <v>-</v>
      </c>
      <c r="K60" s="218">
        <f>IFERROR(GETPIVOTDATA("dato",'[1]evolucion mensual nacionali'!$A$4,"indicador","FRANCIA","mes",11,"año",2006),"-")</f>
        <v>2467</v>
      </c>
      <c r="L60" s="219" t="str">
        <f t="shared" si="29"/>
        <v>-</v>
      </c>
      <c r="M60" s="218">
        <f>IFERROR(GETPIVOTDATA("dato",'[1]evolucion mensual nacionali'!$A$4,"indicador","REINO UNIDO","mes",11,"año",2006),"-")</f>
        <v>63668</v>
      </c>
      <c r="N60" s="219" t="str">
        <f t="shared" si="30"/>
        <v>-</v>
      </c>
      <c r="O60" s="218">
        <f>IFERROR(GETPIVOTDATA("dato",'[1]evolucion mensual nacionali'!$A$4,"indicador","IRLANDA","mes",11,"año",2006),"-")</f>
        <v>1167</v>
      </c>
      <c r="P60" s="219" t="str">
        <f t="shared" si="31"/>
        <v>-</v>
      </c>
      <c r="Q60" s="218">
        <f>IFERROR(GETPIVOTDATA("dato",'[1]evolucion mensual nacionali'!$A$4,"indicador","ITALIA","mes",11,"año",2006),"-")</f>
        <v>3550</v>
      </c>
      <c r="R60" s="219" t="str">
        <f t="shared" si="32"/>
        <v>-</v>
      </c>
      <c r="S60" s="218">
        <f t="shared" ref="S60:S71" si="54">U60+W60+Y60+AA60</f>
        <v>16359</v>
      </c>
      <c r="T60" s="219" t="str">
        <f t="shared" si="33"/>
        <v>-</v>
      </c>
      <c r="U60" s="218">
        <f>IFERROR(GETPIVOTDATA("dato",'[1]evolucion mensual nacionali'!$A$4,"indicador","SUECIA","mes",11,"año",2006),"-")</f>
        <v>6295</v>
      </c>
      <c r="V60" s="219" t="str">
        <f t="shared" si="34"/>
        <v>-</v>
      </c>
      <c r="W60" s="218">
        <f>IFERROR(GETPIVOTDATA("dato",'[1]evolucion mensual nacionali'!$A$4,"indicador","NORUEGA","mes",11,"año",2006),"-")</f>
        <v>3434</v>
      </c>
      <c r="X60" s="219" t="str">
        <f t="shared" si="35"/>
        <v>-</v>
      </c>
      <c r="Y60" s="218">
        <f>IFERROR(GETPIVOTDATA("dato",'[1]evolucion mensual nacionali'!$A$4,"indicador","DINAMARCA","mes",11,"año",2006),"-")</f>
        <v>3737</v>
      </c>
      <c r="Z60" s="219" t="str">
        <f t="shared" si="36"/>
        <v>-</v>
      </c>
      <c r="AA60" s="218">
        <f>IFERROR(GETPIVOTDATA("dato",'[1]evolucion mensual nacionali'!$A$4,"indicador","FINLANDIA","mes",11,"año",2006),"-")</f>
        <v>2893</v>
      </c>
      <c r="AB60" s="219" t="str">
        <f t="shared" si="37"/>
        <v>-</v>
      </c>
      <c r="AC60" s="218">
        <f>IFERROR(GETPIVOTDATA("dato",'[1]evolucion mensual nacionali'!$A$4,"indicador","SUIZA","mes",11,"año",2006),"-")</f>
        <v>1246</v>
      </c>
      <c r="AD60" s="219" t="str">
        <f t="shared" si="38"/>
        <v>-</v>
      </c>
      <c r="AE60" s="218">
        <f>IFERROR(GETPIVOTDATA("dato",'[1]evolucion mensual nacionali'!$A$4,"indicador","AUSTRIA","mes",11,"año",2006),"-")</f>
        <v>1573</v>
      </c>
      <c r="AF60" s="219" t="str">
        <f t="shared" si="39"/>
        <v>-</v>
      </c>
      <c r="AG60" s="218">
        <f>IFERROR(GETPIVOTDATA("dato",'[1]evolucion mensual nacionali'!$A$4,"indicador","RUSIA","mes",11,"año",2006),"-")</f>
        <v>3567</v>
      </c>
      <c r="AH60" s="219" t="str">
        <f t="shared" si="40"/>
        <v>-</v>
      </c>
      <c r="AI60" s="218">
        <f>IFERROR(GETPIVOTDATA("dato",'[1]evolucion mensual nacionali'!$A$4,"indicador","PAÍSES DEL ESTE","mes",11,"año",2006),"-")</f>
        <v>4105</v>
      </c>
      <c r="AJ60" s="219" t="str">
        <f t="shared" si="41"/>
        <v>-</v>
      </c>
      <c r="AK60" s="218">
        <f>IFERROR(GETPIVOTDATA("dato",'[1]evolucion mensual nacionali'!$A$4,"indicador","RESTO DE EUROPA","mes",11,"año",2006),"-")</f>
        <v>2046</v>
      </c>
      <c r="AL60" s="219" t="str">
        <f t="shared" si="42"/>
        <v>-</v>
      </c>
      <c r="AM60" s="218">
        <f>IFERROR(GETPIVOTDATA("dato",'[1]evolucion mensual nacionali'!$A$4,"indicador","USA","mes",11,"año",2006),"-")</f>
        <v>310</v>
      </c>
      <c r="AN60" s="219" t="str">
        <f t="shared" si="43"/>
        <v>-</v>
      </c>
      <c r="AO60" s="218">
        <f>IFERROR(GETPIVOTDATA("dato",'[1]evolucion mensual nacionali'!$A$4,"indicador","RESTO DE AMÉRICA","mes",11,"año",2006),"-")</f>
        <v>131</v>
      </c>
      <c r="AP60" s="219" t="str">
        <f t="shared" si="44"/>
        <v>-</v>
      </c>
      <c r="AQ60" s="218">
        <f>IFERROR(GETPIVOTDATA("dato",'[1]evolucion mensual nacionali'!$A$4,"indicador","RESTO DEL MUNDO","mes",11,"año",2006),"-")</f>
        <v>729</v>
      </c>
      <c r="AR60" s="219" t="str">
        <f t="shared" si="45"/>
        <v>-</v>
      </c>
      <c r="AS60" s="218">
        <f t="shared" ref="AS60:AS71" si="55">AU60-C60</f>
        <v>135018</v>
      </c>
      <c r="AT60" s="219" t="str">
        <f t="shared" si="46"/>
        <v>-</v>
      </c>
      <c r="AU60" s="205">
        <f>IFERROR(GETPIVOTDATA("dato",'[1]evolucion mensual nacionali'!$A$4,"indicador","TOTAL","mes",11,"año",2006),"-")</f>
        <v>152276</v>
      </c>
      <c r="AV60" s="206" t="str">
        <f t="shared" si="47"/>
        <v>-</v>
      </c>
    </row>
    <row r="61" spans="2:48" hidden="1" outlineLevel="1">
      <c r="B61" s="51" t="s">
        <v>39</v>
      </c>
      <c r="C61" s="218">
        <f>IFERROR(GETPIVOTDATA("dato",'[1]evolucion mensual nacionali'!$A$4,"indicador","España","mes",10,"año",2006),"-")</f>
        <v>28608</v>
      </c>
      <c r="D61" s="219" t="str">
        <f t="shared" si="25"/>
        <v>-</v>
      </c>
      <c r="E61" s="218">
        <f>IFERROR(GETPIVOTDATA("dato",'[1]evolucion mensual nacionali'!$A$4,"indicador","HOLANDA","mes",10,"año",2006),"-")</f>
        <v>8766</v>
      </c>
      <c r="F61" s="219" t="str">
        <f t="shared" si="26"/>
        <v>-</v>
      </c>
      <c r="G61" s="218">
        <f>IFERROR(GETPIVOTDATA("dato",'[1]evolucion mensual nacionali'!$A$4,"indicador","BÉLGICA","mes",10,"año",2006),"-")</f>
        <v>5787</v>
      </c>
      <c r="H61" s="219" t="str">
        <f t="shared" si="27"/>
        <v>-</v>
      </c>
      <c r="I61" s="218">
        <f>IFERROR(GETPIVOTDATA("dato",'[1]evolucion mensual nacionali'!$A$4,"indicador","ALEMANIA","mes",10,"año",2006),"-")</f>
        <v>24106</v>
      </c>
      <c r="J61" s="219" t="str">
        <f t="shared" si="28"/>
        <v>-</v>
      </c>
      <c r="K61" s="218">
        <f>IFERROR(GETPIVOTDATA("dato",'[1]evolucion mensual nacionali'!$A$4,"indicador","FRANCIA","mes",10,"año",2006),"-")</f>
        <v>3513</v>
      </c>
      <c r="L61" s="219" t="str">
        <f t="shared" si="29"/>
        <v>-</v>
      </c>
      <c r="M61" s="218">
        <f>IFERROR(GETPIVOTDATA("dato",'[1]evolucion mensual nacionali'!$A$4,"indicador","REINO UNIDO","mes",10,"año",2006),"-")</f>
        <v>73999</v>
      </c>
      <c r="N61" s="219" t="str">
        <f t="shared" si="30"/>
        <v>-</v>
      </c>
      <c r="O61" s="218">
        <f>IFERROR(GETPIVOTDATA("dato",'[1]evolucion mensual nacionali'!$A$4,"indicador","IRLANDA","mes",10,"año",2006),"-")</f>
        <v>1759</v>
      </c>
      <c r="P61" s="219" t="str">
        <f t="shared" si="31"/>
        <v>-</v>
      </c>
      <c r="Q61" s="218">
        <f>IFERROR(GETPIVOTDATA("dato",'[1]evolucion mensual nacionali'!$A$4,"indicador","ITALIA","mes",10,"año",2006),"-")</f>
        <v>4779</v>
      </c>
      <c r="R61" s="219" t="str">
        <f t="shared" si="32"/>
        <v>-</v>
      </c>
      <c r="S61" s="218">
        <f t="shared" si="54"/>
        <v>11721</v>
      </c>
      <c r="T61" s="219" t="str">
        <f t="shared" si="33"/>
        <v>-</v>
      </c>
      <c r="U61" s="218">
        <f>IFERROR(GETPIVOTDATA("dato",'[1]evolucion mensual nacionali'!$A$4,"indicador","SUECIA","mes",10,"año",2006),"-")</f>
        <v>4594</v>
      </c>
      <c r="V61" s="219" t="str">
        <f t="shared" si="34"/>
        <v>-</v>
      </c>
      <c r="W61" s="218">
        <f>IFERROR(GETPIVOTDATA("dato",'[1]evolucion mensual nacionali'!$A$4,"indicador","NORUEGA","mes",10,"año",2006),"-")</f>
        <v>2127</v>
      </c>
      <c r="X61" s="219" t="str">
        <f t="shared" si="35"/>
        <v>-</v>
      </c>
      <c r="Y61" s="218">
        <f>IFERROR(GETPIVOTDATA("dato",'[1]evolucion mensual nacionali'!$A$4,"indicador","DINAMARCA","mes",10,"año",2006),"-")</f>
        <v>3199</v>
      </c>
      <c r="Z61" s="219" t="str">
        <f t="shared" si="36"/>
        <v>-</v>
      </c>
      <c r="AA61" s="218">
        <f>IFERROR(GETPIVOTDATA("dato",'[1]evolucion mensual nacionali'!$A$4,"indicador","FINLANDIA","mes",10,"año",2006),"-")</f>
        <v>1801</v>
      </c>
      <c r="AB61" s="219" t="str">
        <f t="shared" si="37"/>
        <v>-</v>
      </c>
      <c r="AC61" s="218">
        <f>IFERROR(GETPIVOTDATA("dato",'[1]evolucion mensual nacionali'!$A$4,"indicador","SUIZA","mes",10,"año",2006),"-")</f>
        <v>1759</v>
      </c>
      <c r="AD61" s="219" t="str">
        <f t="shared" si="38"/>
        <v>-</v>
      </c>
      <c r="AE61" s="218">
        <f>IFERROR(GETPIVOTDATA("dato",'[1]evolucion mensual nacionali'!$A$4,"indicador","AUSTRIA","mes",10,"año",2006),"-")</f>
        <v>1462</v>
      </c>
      <c r="AF61" s="219" t="str">
        <f t="shared" si="39"/>
        <v>-</v>
      </c>
      <c r="AG61" s="218">
        <f>IFERROR(GETPIVOTDATA("dato",'[1]evolucion mensual nacionali'!$A$4,"indicador","RUSIA","mes",10,"año",2006),"-")</f>
        <v>3699</v>
      </c>
      <c r="AH61" s="219" t="str">
        <f t="shared" si="40"/>
        <v>-</v>
      </c>
      <c r="AI61" s="218">
        <f>IFERROR(GETPIVOTDATA("dato",'[1]evolucion mensual nacionali'!$A$4,"indicador","PAÍSES DEL ESTE","mes",10,"año",2006),"-")</f>
        <v>3258</v>
      </c>
      <c r="AJ61" s="219" t="str">
        <f t="shared" si="41"/>
        <v>-</v>
      </c>
      <c r="AK61" s="218">
        <f>IFERROR(GETPIVOTDATA("dato",'[1]evolucion mensual nacionali'!$A$4,"indicador","RESTO DE EUROPA","mes",10,"año",2006),"-")</f>
        <v>2244</v>
      </c>
      <c r="AL61" s="219" t="str">
        <f t="shared" si="42"/>
        <v>-</v>
      </c>
      <c r="AM61" s="218">
        <f>IFERROR(GETPIVOTDATA("dato",'[1]evolucion mensual nacionali'!$A$4,"indicador","USA","mes",10,"año",2006),"-")</f>
        <v>310</v>
      </c>
      <c r="AN61" s="219" t="str">
        <f t="shared" si="43"/>
        <v>-</v>
      </c>
      <c r="AO61" s="218">
        <f>IFERROR(GETPIVOTDATA("dato",'[1]evolucion mensual nacionali'!$A$4,"indicador","RESTO DE AMÉRICA","mes",10,"año",2006),"-")</f>
        <v>113</v>
      </c>
      <c r="AP61" s="219" t="str">
        <f t="shared" si="44"/>
        <v>-</v>
      </c>
      <c r="AQ61" s="218">
        <f>IFERROR(GETPIVOTDATA("dato",'[1]evolucion mensual nacionali'!$A$4,"indicador","RESTO DEL MUNDO","mes",10,"año",2006),"-")</f>
        <v>978</v>
      </c>
      <c r="AR61" s="219" t="str">
        <f t="shared" si="45"/>
        <v>-</v>
      </c>
      <c r="AS61" s="218">
        <f t="shared" si="55"/>
        <v>148253</v>
      </c>
      <c r="AT61" s="219" t="str">
        <f t="shared" si="46"/>
        <v>-</v>
      </c>
      <c r="AU61" s="205">
        <f>IFERROR(GETPIVOTDATA("dato",'[1]evolucion mensual nacionali'!$A$4,"indicador","TOTAL","mes",10,"año",2006),"-")</f>
        <v>176861</v>
      </c>
      <c r="AV61" s="206" t="str">
        <f t="shared" si="47"/>
        <v>-</v>
      </c>
    </row>
    <row r="62" spans="2:48" hidden="1" outlineLevel="1">
      <c r="B62" s="51" t="s">
        <v>40</v>
      </c>
      <c r="C62" s="218">
        <f>IFERROR(GETPIVOTDATA("dato",'[1]evolucion mensual nacionali'!$A$4,"indicador","España","mes",9,"año",2006),"-")</f>
        <v>41342</v>
      </c>
      <c r="D62" s="219" t="str">
        <f t="shared" si="25"/>
        <v>-</v>
      </c>
      <c r="E62" s="218">
        <f>IFERROR(GETPIVOTDATA("dato",'[1]evolucion mensual nacionali'!$A$4,"indicador","HOLANDA","mes",9,"año",2006),"-")</f>
        <v>4973</v>
      </c>
      <c r="F62" s="219" t="str">
        <f t="shared" si="26"/>
        <v>-</v>
      </c>
      <c r="G62" s="218">
        <f>IFERROR(GETPIVOTDATA("dato",'[1]evolucion mensual nacionali'!$A$4,"indicador","BÉLGICA","mes",9,"año",2006),"-")</f>
        <v>4680</v>
      </c>
      <c r="H62" s="219" t="str">
        <f t="shared" si="27"/>
        <v>-</v>
      </c>
      <c r="I62" s="218">
        <f>IFERROR(GETPIVOTDATA("dato",'[1]evolucion mensual nacionali'!$A$4,"indicador","ALEMANIA","mes",9,"año",2006),"-")</f>
        <v>23756</v>
      </c>
      <c r="J62" s="219" t="str">
        <f t="shared" si="28"/>
        <v>-</v>
      </c>
      <c r="K62" s="218">
        <f>IFERROR(GETPIVOTDATA("dato",'[1]evolucion mensual nacionali'!$A$4,"indicador","FRANCIA","mes",9,"año",2006),"-")</f>
        <v>2148</v>
      </c>
      <c r="L62" s="219" t="str">
        <f t="shared" si="29"/>
        <v>-</v>
      </c>
      <c r="M62" s="218">
        <f>IFERROR(GETPIVOTDATA("dato",'[1]evolucion mensual nacionali'!$A$4,"indicador","REINO UNIDO","mes",9,"año",2006),"-")</f>
        <v>65431</v>
      </c>
      <c r="N62" s="219" t="str">
        <f t="shared" si="30"/>
        <v>-</v>
      </c>
      <c r="O62" s="218">
        <f>IFERROR(GETPIVOTDATA("dato",'[1]evolucion mensual nacionali'!$A$4,"indicador","IRLANDA","mes",9,"año",2006),"-")</f>
        <v>1417</v>
      </c>
      <c r="P62" s="219" t="str">
        <f t="shared" si="31"/>
        <v>-</v>
      </c>
      <c r="Q62" s="218">
        <f>IFERROR(GETPIVOTDATA("dato",'[1]evolucion mensual nacionali'!$A$4,"indicador","ITALIA","mes",9,"año",2006),"-")</f>
        <v>3674</v>
      </c>
      <c r="R62" s="219" t="str">
        <f t="shared" si="32"/>
        <v>-</v>
      </c>
      <c r="S62" s="218">
        <f t="shared" si="54"/>
        <v>1713</v>
      </c>
      <c r="T62" s="219" t="str">
        <f t="shared" si="33"/>
        <v>-</v>
      </c>
      <c r="U62" s="218">
        <f>IFERROR(GETPIVOTDATA("dato",'[1]evolucion mensual nacionali'!$A$4,"indicador","SUECIA","mes",9,"año",2006),"-")</f>
        <v>379</v>
      </c>
      <c r="V62" s="219" t="str">
        <f t="shared" si="34"/>
        <v>-</v>
      </c>
      <c r="W62" s="218">
        <f>IFERROR(GETPIVOTDATA("dato",'[1]evolucion mensual nacionali'!$A$4,"indicador","NORUEGA","mes",9,"año",2006),"-")</f>
        <v>413</v>
      </c>
      <c r="X62" s="219" t="str">
        <f t="shared" si="35"/>
        <v>-</v>
      </c>
      <c r="Y62" s="218">
        <f>IFERROR(GETPIVOTDATA("dato",'[1]evolucion mensual nacionali'!$A$4,"indicador","DINAMARCA","mes",9,"año",2006),"-")</f>
        <v>727</v>
      </c>
      <c r="Z62" s="219" t="str">
        <f t="shared" si="36"/>
        <v>-</v>
      </c>
      <c r="AA62" s="218">
        <f>IFERROR(GETPIVOTDATA("dato",'[1]evolucion mensual nacionali'!$A$4,"indicador","FINLANDIA","mes",9,"año",2006),"-")</f>
        <v>194</v>
      </c>
      <c r="AB62" s="219" t="str">
        <f t="shared" si="37"/>
        <v>-</v>
      </c>
      <c r="AC62" s="218">
        <f>IFERROR(GETPIVOTDATA("dato",'[1]evolucion mensual nacionali'!$A$4,"indicador","SUIZA","mes",9,"año",2006),"-")</f>
        <v>1116</v>
      </c>
      <c r="AD62" s="219" t="str">
        <f t="shared" si="38"/>
        <v>-</v>
      </c>
      <c r="AE62" s="218">
        <f>IFERROR(GETPIVOTDATA("dato",'[1]evolucion mensual nacionali'!$A$4,"indicador","AUSTRIA","mes",9,"año",2006),"-")</f>
        <v>1021</v>
      </c>
      <c r="AF62" s="219" t="str">
        <f t="shared" si="39"/>
        <v>-</v>
      </c>
      <c r="AG62" s="218">
        <f>IFERROR(GETPIVOTDATA("dato",'[1]evolucion mensual nacionali'!$A$4,"indicador","RUSIA","mes",9,"año",2006),"-")</f>
        <v>4349</v>
      </c>
      <c r="AH62" s="219" t="str">
        <f t="shared" si="40"/>
        <v>-</v>
      </c>
      <c r="AI62" s="218">
        <f>IFERROR(GETPIVOTDATA("dato",'[1]evolucion mensual nacionali'!$A$4,"indicador","PAÍSES DEL ESTE","mes",9,"año",2006),"-")</f>
        <v>3686</v>
      </c>
      <c r="AJ62" s="219" t="str">
        <f t="shared" si="41"/>
        <v>-</v>
      </c>
      <c r="AK62" s="218">
        <f>IFERROR(GETPIVOTDATA("dato",'[1]evolucion mensual nacionali'!$A$4,"indicador","RESTO DE EUROPA","mes",9,"año",2006),"-")</f>
        <v>2887</v>
      </c>
      <c r="AL62" s="219" t="str">
        <f t="shared" si="42"/>
        <v>-</v>
      </c>
      <c r="AM62" s="218">
        <f>IFERROR(GETPIVOTDATA("dato",'[1]evolucion mensual nacionali'!$A$4,"indicador","USA","mes",9,"año",2006),"-")</f>
        <v>270</v>
      </c>
      <c r="AN62" s="219" t="str">
        <f t="shared" si="43"/>
        <v>-</v>
      </c>
      <c r="AO62" s="218">
        <f>IFERROR(GETPIVOTDATA("dato",'[1]evolucion mensual nacionali'!$A$4,"indicador","RESTO DE AMÉRICA","mes",9,"año",2006),"-")</f>
        <v>233</v>
      </c>
      <c r="AP62" s="219" t="str">
        <f t="shared" si="44"/>
        <v>-</v>
      </c>
      <c r="AQ62" s="218">
        <f>IFERROR(GETPIVOTDATA("dato",'[1]evolucion mensual nacionali'!$A$4,"indicador","RESTO DEL MUNDO","mes",9,"año",2006),"-")</f>
        <v>944</v>
      </c>
      <c r="AR62" s="219" t="str">
        <f t="shared" si="45"/>
        <v>-</v>
      </c>
      <c r="AS62" s="218">
        <f t="shared" si="55"/>
        <v>122298</v>
      </c>
      <c r="AT62" s="219" t="str">
        <f t="shared" si="46"/>
        <v>-</v>
      </c>
      <c r="AU62" s="205">
        <f>IFERROR(GETPIVOTDATA("dato",'[1]evolucion mensual nacionali'!$A$4,"indicador","TOTAL","mes",9,"año",2006),"-")</f>
        <v>163640</v>
      </c>
      <c r="AV62" s="206" t="str">
        <f t="shared" si="47"/>
        <v>-</v>
      </c>
    </row>
    <row r="63" spans="2:48" hidden="1" outlineLevel="1">
      <c r="B63" s="51" t="s">
        <v>41</v>
      </c>
      <c r="C63" s="218">
        <f>IFERROR(GETPIVOTDATA("dato",'[1]evolucion mensual nacionali'!$A$4,"indicador","España","mes",8,"año",2006),"-")</f>
        <v>57964</v>
      </c>
      <c r="D63" s="219" t="str">
        <f t="shared" si="25"/>
        <v>-</v>
      </c>
      <c r="E63" s="218">
        <f>IFERROR(GETPIVOTDATA("dato",'[1]evolucion mensual nacionali'!$A$4,"indicador","HOLANDA","mes",8,"año",2006),"-")</f>
        <v>5231</v>
      </c>
      <c r="F63" s="219" t="str">
        <f t="shared" si="26"/>
        <v>-</v>
      </c>
      <c r="G63" s="218">
        <f>IFERROR(GETPIVOTDATA("dato",'[1]evolucion mensual nacionali'!$A$4,"indicador","BÉLGICA","mes",8,"año",2006),"-")</f>
        <v>5948</v>
      </c>
      <c r="H63" s="219" t="str">
        <f t="shared" si="27"/>
        <v>-</v>
      </c>
      <c r="I63" s="218">
        <f>IFERROR(GETPIVOTDATA("dato",'[1]evolucion mensual nacionali'!$A$4,"indicador","ALEMANIA","mes",8,"año",2006),"-")</f>
        <v>21085</v>
      </c>
      <c r="J63" s="219" t="str">
        <f t="shared" si="28"/>
        <v>-</v>
      </c>
      <c r="K63" s="218">
        <f>IFERROR(GETPIVOTDATA("dato",'[1]evolucion mensual nacionali'!$A$4,"indicador","FRANCIA","mes",8,"año",2006),"-")</f>
        <v>3608</v>
      </c>
      <c r="L63" s="219" t="str">
        <f t="shared" si="29"/>
        <v>-</v>
      </c>
      <c r="M63" s="218">
        <f>IFERROR(GETPIVOTDATA("dato",'[1]evolucion mensual nacionali'!$A$4,"indicador","REINO UNIDO","mes",8,"año",2006),"-")</f>
        <v>59612</v>
      </c>
      <c r="N63" s="219" t="str">
        <f t="shared" si="30"/>
        <v>-</v>
      </c>
      <c r="O63" s="218">
        <f>IFERROR(GETPIVOTDATA("dato",'[1]evolucion mensual nacionali'!$A$4,"indicador","IRLANDA","mes",8,"año",2006),"-")</f>
        <v>1329</v>
      </c>
      <c r="P63" s="219" t="str">
        <f t="shared" si="31"/>
        <v>-</v>
      </c>
      <c r="Q63" s="218">
        <f>IFERROR(GETPIVOTDATA("dato",'[1]evolucion mensual nacionali'!$A$4,"indicador","ITALIA","mes",8,"año",2006),"-")</f>
        <v>9810</v>
      </c>
      <c r="R63" s="219" t="str">
        <f t="shared" si="32"/>
        <v>-</v>
      </c>
      <c r="S63" s="218">
        <f t="shared" si="54"/>
        <v>1732</v>
      </c>
      <c r="T63" s="219" t="str">
        <f t="shared" si="33"/>
        <v>-</v>
      </c>
      <c r="U63" s="218">
        <f>IFERROR(GETPIVOTDATA("dato",'[1]evolucion mensual nacionali'!$A$4,"indicador","SUECIA","mes",8,"año",2006),"-")</f>
        <v>444</v>
      </c>
      <c r="V63" s="219" t="str">
        <f t="shared" si="34"/>
        <v>-</v>
      </c>
      <c r="W63" s="218">
        <f>IFERROR(GETPIVOTDATA("dato",'[1]evolucion mensual nacionali'!$A$4,"indicador","NORUEGA","mes",8,"año",2006),"-")</f>
        <v>286</v>
      </c>
      <c r="X63" s="219" t="str">
        <f t="shared" si="35"/>
        <v>-</v>
      </c>
      <c r="Y63" s="218">
        <f>IFERROR(GETPIVOTDATA("dato",'[1]evolucion mensual nacionali'!$A$4,"indicador","DINAMARCA","mes",8,"año",2006),"-")</f>
        <v>983</v>
      </c>
      <c r="Z63" s="219" t="str">
        <f t="shared" si="36"/>
        <v>-</v>
      </c>
      <c r="AA63" s="218">
        <f>IFERROR(GETPIVOTDATA("dato",'[1]evolucion mensual nacionali'!$A$4,"indicador","FINLANDIA","mes",8,"año",2006),"-")</f>
        <v>19</v>
      </c>
      <c r="AB63" s="219" t="str">
        <f t="shared" si="37"/>
        <v>-</v>
      </c>
      <c r="AC63" s="218">
        <f>IFERROR(GETPIVOTDATA("dato",'[1]evolucion mensual nacionali'!$A$4,"indicador","SUIZA","mes",8,"año",2006),"-")</f>
        <v>833</v>
      </c>
      <c r="AD63" s="219" t="str">
        <f t="shared" si="38"/>
        <v>-</v>
      </c>
      <c r="AE63" s="218">
        <f>IFERROR(GETPIVOTDATA("dato",'[1]evolucion mensual nacionali'!$A$4,"indicador","AUSTRIA","mes",8,"año",2006),"-")</f>
        <v>1163</v>
      </c>
      <c r="AF63" s="219" t="str">
        <f t="shared" si="39"/>
        <v>-</v>
      </c>
      <c r="AG63" s="218">
        <f>IFERROR(GETPIVOTDATA("dato",'[1]evolucion mensual nacionali'!$A$4,"indicador","RUSIA","mes",8,"año",2006),"-")</f>
        <v>3926</v>
      </c>
      <c r="AH63" s="219" t="str">
        <f t="shared" si="40"/>
        <v>-</v>
      </c>
      <c r="AI63" s="218">
        <f>IFERROR(GETPIVOTDATA("dato",'[1]evolucion mensual nacionali'!$A$4,"indicador","PAÍSES DEL ESTE","mes",8,"año",2006),"-")</f>
        <v>3597</v>
      </c>
      <c r="AJ63" s="219" t="str">
        <f t="shared" si="41"/>
        <v>-</v>
      </c>
      <c r="AK63" s="218">
        <f>IFERROR(GETPIVOTDATA("dato",'[1]evolucion mensual nacionali'!$A$4,"indicador","RESTO DE EUROPA","mes",8,"año",2006),"-")</f>
        <v>4676</v>
      </c>
      <c r="AL63" s="219" t="str">
        <f t="shared" si="42"/>
        <v>-</v>
      </c>
      <c r="AM63" s="218">
        <f>IFERROR(GETPIVOTDATA("dato",'[1]evolucion mensual nacionali'!$A$4,"indicador","USA","mes",8,"año",2006),"-")</f>
        <v>265</v>
      </c>
      <c r="AN63" s="219" t="str">
        <f t="shared" si="43"/>
        <v>-</v>
      </c>
      <c r="AO63" s="218">
        <f>IFERROR(GETPIVOTDATA("dato",'[1]evolucion mensual nacionali'!$A$4,"indicador","RESTO DE AMÉRICA","mes",8,"año",2006),"-")</f>
        <v>578</v>
      </c>
      <c r="AP63" s="219" t="str">
        <f t="shared" si="44"/>
        <v>-</v>
      </c>
      <c r="AQ63" s="218">
        <f>IFERROR(GETPIVOTDATA("dato",'[1]evolucion mensual nacionali'!$A$4,"indicador","RESTO DEL MUNDO","mes",8,"año",2006),"-")</f>
        <v>878</v>
      </c>
      <c r="AR63" s="219" t="str">
        <f t="shared" si="45"/>
        <v>-</v>
      </c>
      <c r="AS63" s="218">
        <f t="shared" si="55"/>
        <v>124271</v>
      </c>
      <c r="AT63" s="219" t="str">
        <f t="shared" si="46"/>
        <v>-</v>
      </c>
      <c r="AU63" s="205">
        <f>IFERROR(GETPIVOTDATA("dato",'[1]evolucion mensual nacionali'!$A$4,"indicador","TOTAL","mes",8,"año",2006),"-")</f>
        <v>182235</v>
      </c>
      <c r="AV63" s="206" t="str">
        <f t="shared" si="47"/>
        <v>-</v>
      </c>
    </row>
    <row r="64" spans="2:48" hidden="1" outlineLevel="1">
      <c r="B64" s="51" t="s">
        <v>42</v>
      </c>
      <c r="C64" s="218">
        <f>IFERROR(GETPIVOTDATA("dato",'[1]evolucion mensual nacionali'!$A$4,"indicador","España","mes",7,"año",2006),"-")</f>
        <v>45696</v>
      </c>
      <c r="D64" s="219" t="str">
        <f t="shared" si="25"/>
        <v>-</v>
      </c>
      <c r="E64" s="218">
        <f>IFERROR(GETPIVOTDATA("dato",'[1]evolucion mensual nacionali'!$A$4,"indicador","HOLANDA","mes",7,"año",2006),"-")</f>
        <v>8001</v>
      </c>
      <c r="F64" s="219" t="str">
        <f t="shared" si="26"/>
        <v>-</v>
      </c>
      <c r="G64" s="218">
        <f>IFERROR(GETPIVOTDATA("dato",'[1]evolucion mensual nacionali'!$A$4,"indicador","BÉLGICA","mes",7,"año",2006),"-")</f>
        <v>7038</v>
      </c>
      <c r="H64" s="219" t="str">
        <f t="shared" si="27"/>
        <v>-</v>
      </c>
      <c r="I64" s="218">
        <f>IFERROR(GETPIVOTDATA("dato",'[1]evolucion mensual nacionali'!$A$4,"indicador","ALEMANIA","mes",7,"año",2006),"-")</f>
        <v>19945</v>
      </c>
      <c r="J64" s="219" t="str">
        <f t="shared" si="28"/>
        <v>-</v>
      </c>
      <c r="K64" s="218">
        <f>IFERROR(GETPIVOTDATA("dato",'[1]evolucion mensual nacionali'!$A$4,"indicador","FRANCIA","mes",7,"año",2006),"-")</f>
        <v>3060</v>
      </c>
      <c r="L64" s="219" t="str">
        <f t="shared" si="29"/>
        <v>-</v>
      </c>
      <c r="M64" s="218">
        <f>IFERROR(GETPIVOTDATA("dato",'[1]evolucion mensual nacionali'!$A$4,"indicador","REINO UNIDO","mes",7,"año",2006),"-")</f>
        <v>59201</v>
      </c>
      <c r="N64" s="219" t="str">
        <f t="shared" si="30"/>
        <v>-</v>
      </c>
      <c r="O64" s="218">
        <f>IFERROR(GETPIVOTDATA("dato",'[1]evolucion mensual nacionali'!$A$4,"indicador","IRLANDA","mes",7,"año",2006),"-")</f>
        <v>1797</v>
      </c>
      <c r="P64" s="219" t="str">
        <f t="shared" si="31"/>
        <v>-</v>
      </c>
      <c r="Q64" s="218">
        <f>IFERROR(GETPIVOTDATA("dato",'[1]evolucion mensual nacionali'!$A$4,"indicador","ITALIA","mes",7,"año",2006),"-")</f>
        <v>5192</v>
      </c>
      <c r="R64" s="219" t="str">
        <f t="shared" si="32"/>
        <v>-</v>
      </c>
      <c r="S64" s="218">
        <f t="shared" si="54"/>
        <v>1793</v>
      </c>
      <c r="T64" s="219" t="str">
        <f t="shared" si="33"/>
        <v>-</v>
      </c>
      <c r="U64" s="218">
        <f>IFERROR(GETPIVOTDATA("dato",'[1]evolucion mensual nacionali'!$A$4,"indicador","SUECIA","mes",7,"año",2006),"-")</f>
        <v>353</v>
      </c>
      <c r="V64" s="219" t="str">
        <f t="shared" si="34"/>
        <v>-</v>
      </c>
      <c r="W64" s="218">
        <f>IFERROR(GETPIVOTDATA("dato",'[1]evolucion mensual nacionali'!$A$4,"indicador","NORUEGA","mes",7,"año",2006),"-")</f>
        <v>403</v>
      </c>
      <c r="X64" s="219" t="str">
        <f t="shared" si="35"/>
        <v>-</v>
      </c>
      <c r="Y64" s="218">
        <f>IFERROR(GETPIVOTDATA("dato",'[1]evolucion mensual nacionali'!$A$4,"indicador","DINAMARCA","mes",7,"año",2006),"-")</f>
        <v>886</v>
      </c>
      <c r="Z64" s="219" t="str">
        <f t="shared" si="36"/>
        <v>-</v>
      </c>
      <c r="AA64" s="218">
        <f>IFERROR(GETPIVOTDATA("dato",'[1]evolucion mensual nacionali'!$A$4,"indicador","FINLANDIA","mes",7,"año",2006),"-")</f>
        <v>151</v>
      </c>
      <c r="AB64" s="219" t="str">
        <f t="shared" si="37"/>
        <v>-</v>
      </c>
      <c r="AC64" s="218">
        <f>IFERROR(GETPIVOTDATA("dato",'[1]evolucion mensual nacionali'!$A$4,"indicador","SUIZA","mes",7,"año",2006),"-")</f>
        <v>1313</v>
      </c>
      <c r="AD64" s="219" t="str">
        <f t="shared" si="38"/>
        <v>-</v>
      </c>
      <c r="AE64" s="218">
        <f>IFERROR(GETPIVOTDATA("dato",'[1]evolucion mensual nacionali'!$A$4,"indicador","AUSTRIA","mes",7,"año",2006),"-")</f>
        <v>1356</v>
      </c>
      <c r="AF64" s="219" t="str">
        <f t="shared" si="39"/>
        <v>-</v>
      </c>
      <c r="AG64" s="218">
        <f>IFERROR(GETPIVOTDATA("dato",'[1]evolucion mensual nacionali'!$A$4,"indicador","RUSIA","mes",7,"año",2006),"-")</f>
        <v>3470</v>
      </c>
      <c r="AH64" s="219" t="str">
        <f t="shared" si="40"/>
        <v>-</v>
      </c>
      <c r="AI64" s="218">
        <f>IFERROR(GETPIVOTDATA("dato",'[1]evolucion mensual nacionali'!$A$4,"indicador","PAÍSES DEL ESTE","mes",7,"año",2006),"-")</f>
        <v>3665</v>
      </c>
      <c r="AJ64" s="219" t="str">
        <f t="shared" si="41"/>
        <v>-</v>
      </c>
      <c r="AK64" s="218">
        <f>IFERROR(GETPIVOTDATA("dato",'[1]evolucion mensual nacionali'!$A$4,"indicador","RESTO DE EUROPA","mes",7,"año",2006),"-")</f>
        <v>4312</v>
      </c>
      <c r="AL64" s="219" t="str">
        <f t="shared" si="42"/>
        <v>-</v>
      </c>
      <c r="AM64" s="218">
        <f>IFERROR(GETPIVOTDATA("dato",'[1]evolucion mensual nacionali'!$A$4,"indicador","USA","mes",7,"año",2006),"-")</f>
        <v>500</v>
      </c>
      <c r="AN64" s="219" t="str">
        <f t="shared" si="43"/>
        <v>-</v>
      </c>
      <c r="AO64" s="218">
        <f>IFERROR(GETPIVOTDATA("dato",'[1]evolucion mensual nacionali'!$A$4,"indicador","RESTO DE AMÉRICA","mes",7,"año",2006),"-")</f>
        <v>346</v>
      </c>
      <c r="AP64" s="219" t="str">
        <f t="shared" si="44"/>
        <v>-</v>
      </c>
      <c r="AQ64" s="218">
        <f>IFERROR(GETPIVOTDATA("dato",'[1]evolucion mensual nacionali'!$A$4,"indicador","RESTO DEL MUNDO","mes",7,"año",2006),"-")</f>
        <v>1309</v>
      </c>
      <c r="AR64" s="219" t="str">
        <f t="shared" si="45"/>
        <v>-</v>
      </c>
      <c r="AS64" s="218">
        <f t="shared" si="55"/>
        <v>122298</v>
      </c>
      <c r="AT64" s="219" t="str">
        <f t="shared" si="46"/>
        <v>-</v>
      </c>
      <c r="AU64" s="205">
        <f>IFERROR(GETPIVOTDATA("dato",'[1]evolucion mensual nacionali'!$A$4,"indicador","TOTAL","mes",7,"año",2006),"-")</f>
        <v>167994</v>
      </c>
      <c r="AV64" s="206" t="str">
        <f t="shared" si="47"/>
        <v>-</v>
      </c>
    </row>
    <row r="65" spans="2:48" hidden="1" outlineLevel="1">
      <c r="B65" s="51" t="s">
        <v>43</v>
      </c>
      <c r="C65" s="218">
        <f>IFERROR(GETPIVOTDATA("dato",'[1]evolucion mensual nacionali'!$A$4,"indicador","España","mes",6,"año",2006),"-")</f>
        <v>34543</v>
      </c>
      <c r="D65" s="219" t="str">
        <f t="shared" si="25"/>
        <v>-</v>
      </c>
      <c r="E65" s="218">
        <f>IFERROR(GETPIVOTDATA("dato",'[1]evolucion mensual nacionali'!$A$4,"indicador","HOLANDA","mes",6,"año",2006),"-")</f>
        <v>4513</v>
      </c>
      <c r="F65" s="219" t="str">
        <f t="shared" si="26"/>
        <v>-</v>
      </c>
      <c r="G65" s="218">
        <f>IFERROR(GETPIVOTDATA("dato",'[1]evolucion mensual nacionali'!$A$4,"indicador","BÉLGICA","mes",6,"año",2006),"-")</f>
        <v>4245</v>
      </c>
      <c r="H65" s="219" t="str">
        <f t="shared" si="27"/>
        <v>-</v>
      </c>
      <c r="I65" s="218">
        <f>IFERROR(GETPIVOTDATA("dato",'[1]evolucion mensual nacionali'!$A$4,"indicador","ALEMANIA","mes",6,"año",2006),"-")</f>
        <v>21441</v>
      </c>
      <c r="J65" s="219" t="str">
        <f t="shared" si="28"/>
        <v>-</v>
      </c>
      <c r="K65" s="218">
        <f>IFERROR(GETPIVOTDATA("dato",'[1]evolucion mensual nacionali'!$A$4,"indicador","FRANCIA","mes",6,"año",2006),"-")</f>
        <v>1828</v>
      </c>
      <c r="L65" s="219" t="str">
        <f t="shared" si="29"/>
        <v>-</v>
      </c>
      <c r="M65" s="218">
        <f>IFERROR(GETPIVOTDATA("dato",'[1]evolucion mensual nacionali'!$A$4,"indicador","REINO UNIDO","mes",6,"año",2006),"-")</f>
        <v>63943</v>
      </c>
      <c r="N65" s="219" t="str">
        <f t="shared" si="30"/>
        <v>-</v>
      </c>
      <c r="O65" s="218">
        <f>IFERROR(GETPIVOTDATA("dato",'[1]evolucion mensual nacionali'!$A$4,"indicador","IRLANDA","mes",6,"año",2006),"-")</f>
        <v>1481</v>
      </c>
      <c r="P65" s="219" t="str">
        <f t="shared" si="31"/>
        <v>-</v>
      </c>
      <c r="Q65" s="218">
        <f>IFERROR(GETPIVOTDATA("dato",'[1]evolucion mensual nacionali'!$A$4,"indicador","ITALIA","mes",6,"año",2006),"-")</f>
        <v>3615</v>
      </c>
      <c r="R65" s="219" t="str">
        <f t="shared" si="32"/>
        <v>-</v>
      </c>
      <c r="S65" s="218">
        <f t="shared" si="54"/>
        <v>1132</v>
      </c>
      <c r="T65" s="219" t="str">
        <f t="shared" si="33"/>
        <v>-</v>
      </c>
      <c r="U65" s="218">
        <f>IFERROR(GETPIVOTDATA("dato",'[1]evolucion mensual nacionali'!$A$4,"indicador","SUECIA","mes",6,"año",2006),"-")</f>
        <v>103</v>
      </c>
      <c r="V65" s="219" t="str">
        <f t="shared" si="34"/>
        <v>-</v>
      </c>
      <c r="W65" s="218">
        <f>IFERROR(GETPIVOTDATA("dato",'[1]evolucion mensual nacionali'!$A$4,"indicador","NORUEGA","mes",6,"año",2006),"-")</f>
        <v>45</v>
      </c>
      <c r="X65" s="219" t="str">
        <f t="shared" si="35"/>
        <v>-</v>
      </c>
      <c r="Y65" s="218">
        <f>IFERROR(GETPIVOTDATA("dato",'[1]evolucion mensual nacionali'!$A$4,"indicador","DINAMARCA","mes",6,"año",2006),"-")</f>
        <v>667</v>
      </c>
      <c r="Z65" s="219" t="str">
        <f t="shared" si="36"/>
        <v>-</v>
      </c>
      <c r="AA65" s="218">
        <f>IFERROR(GETPIVOTDATA("dato",'[1]evolucion mensual nacionali'!$A$4,"indicador","FINLANDIA","mes",6,"año",2006),"-")</f>
        <v>317</v>
      </c>
      <c r="AB65" s="219" t="str">
        <f t="shared" si="37"/>
        <v>-</v>
      </c>
      <c r="AC65" s="218">
        <f>IFERROR(GETPIVOTDATA("dato",'[1]evolucion mensual nacionali'!$A$4,"indicador","SUIZA","mes",6,"año",2006),"-")</f>
        <v>785</v>
      </c>
      <c r="AD65" s="219" t="str">
        <f t="shared" si="38"/>
        <v>-</v>
      </c>
      <c r="AE65" s="218">
        <f>IFERROR(GETPIVOTDATA("dato",'[1]evolucion mensual nacionali'!$A$4,"indicador","AUSTRIA","mes",6,"año",2006),"-")</f>
        <v>1032</v>
      </c>
      <c r="AF65" s="219" t="str">
        <f t="shared" si="39"/>
        <v>-</v>
      </c>
      <c r="AG65" s="218">
        <f>IFERROR(GETPIVOTDATA("dato",'[1]evolucion mensual nacionali'!$A$4,"indicador","RUSIA","mes",6,"año",2006),"-")</f>
        <v>4259</v>
      </c>
      <c r="AH65" s="219" t="str">
        <f t="shared" si="40"/>
        <v>-</v>
      </c>
      <c r="AI65" s="218">
        <f>IFERROR(GETPIVOTDATA("dato",'[1]evolucion mensual nacionali'!$A$4,"indicador","PAÍSES DEL ESTE","mes",6,"año",2006),"-")</f>
        <v>3280</v>
      </c>
      <c r="AJ65" s="219" t="str">
        <f t="shared" si="41"/>
        <v>-</v>
      </c>
      <c r="AK65" s="218">
        <f>IFERROR(GETPIVOTDATA("dato",'[1]evolucion mensual nacionali'!$A$4,"indicador","RESTO DE EUROPA","mes",6,"año",2006),"-")</f>
        <v>2743</v>
      </c>
      <c r="AL65" s="219" t="str">
        <f t="shared" si="42"/>
        <v>-</v>
      </c>
      <c r="AM65" s="218">
        <f>IFERROR(GETPIVOTDATA("dato",'[1]evolucion mensual nacionali'!$A$4,"indicador","USA","mes",6,"año",2006),"-")</f>
        <v>541</v>
      </c>
      <c r="AN65" s="219" t="str">
        <f t="shared" si="43"/>
        <v>-</v>
      </c>
      <c r="AO65" s="218">
        <f>IFERROR(GETPIVOTDATA("dato",'[1]evolucion mensual nacionali'!$A$4,"indicador","RESTO DE AMÉRICA","mes",6,"año",2006),"-")</f>
        <v>175</v>
      </c>
      <c r="AP65" s="219" t="str">
        <f t="shared" si="44"/>
        <v>-</v>
      </c>
      <c r="AQ65" s="218">
        <f>IFERROR(GETPIVOTDATA("dato",'[1]evolucion mensual nacionali'!$A$4,"indicador","RESTO DEL MUNDO","mes",6,"año",2006),"-")</f>
        <v>1486</v>
      </c>
      <c r="AR65" s="219" t="str">
        <f t="shared" si="45"/>
        <v>-</v>
      </c>
      <c r="AS65" s="218">
        <f t="shared" si="55"/>
        <v>116499</v>
      </c>
      <c r="AT65" s="219" t="str">
        <f t="shared" si="46"/>
        <v>-</v>
      </c>
      <c r="AU65" s="205">
        <f>IFERROR(GETPIVOTDATA("dato",'[1]evolucion mensual nacionali'!$A$4,"indicador","TOTAL","mes",6,"año",2006),"-")</f>
        <v>151042</v>
      </c>
      <c r="AV65" s="206" t="str">
        <f t="shared" si="47"/>
        <v>-</v>
      </c>
    </row>
    <row r="66" spans="2:48" hidden="1" outlineLevel="1">
      <c r="B66" s="51" t="s">
        <v>44</v>
      </c>
      <c r="C66" s="218">
        <f>IFERROR(GETPIVOTDATA("dato",'[1]evolucion mensual nacionali'!$A$4,"indicador","España","mes",5,"año",2006),"-")</f>
        <v>29597</v>
      </c>
      <c r="D66" s="219" t="str">
        <f t="shared" si="25"/>
        <v>-</v>
      </c>
      <c r="E66" s="218">
        <f>IFERROR(GETPIVOTDATA("dato",'[1]evolucion mensual nacionali'!$A$4,"indicador","HOLANDA","mes",5,"año",2006),"-")</f>
        <v>6319</v>
      </c>
      <c r="F66" s="219" t="str">
        <f t="shared" si="26"/>
        <v>-</v>
      </c>
      <c r="G66" s="218">
        <f>IFERROR(GETPIVOTDATA("dato",'[1]evolucion mensual nacionali'!$A$4,"indicador","BÉLGICA","mes",5,"año",2006),"-")</f>
        <v>3986</v>
      </c>
      <c r="H66" s="219" t="str">
        <f t="shared" si="27"/>
        <v>-</v>
      </c>
      <c r="I66" s="218">
        <f>IFERROR(GETPIVOTDATA("dato",'[1]evolucion mensual nacionali'!$A$4,"indicador","ALEMANIA","mes",5,"año",2006),"-")</f>
        <v>19282</v>
      </c>
      <c r="J66" s="219" t="str">
        <f t="shared" si="28"/>
        <v>-</v>
      </c>
      <c r="K66" s="218">
        <f>IFERROR(GETPIVOTDATA("dato",'[1]evolucion mensual nacionali'!$A$4,"indicador","FRANCIA","mes",5,"año",2006),"-")</f>
        <v>2935</v>
      </c>
      <c r="L66" s="219" t="str">
        <f t="shared" si="29"/>
        <v>-</v>
      </c>
      <c r="M66" s="218">
        <f>IFERROR(GETPIVOTDATA("dato",'[1]evolucion mensual nacionali'!$A$4,"indicador","REINO UNIDO","mes",5,"año",2006),"-")</f>
        <v>54568</v>
      </c>
      <c r="N66" s="219" t="str">
        <f t="shared" si="30"/>
        <v>-</v>
      </c>
      <c r="O66" s="218">
        <f>IFERROR(GETPIVOTDATA("dato",'[1]evolucion mensual nacionali'!$A$4,"indicador","IRLANDA","mes",5,"año",2006),"-")</f>
        <v>1314</v>
      </c>
      <c r="P66" s="219" t="str">
        <f t="shared" si="31"/>
        <v>-</v>
      </c>
      <c r="Q66" s="218">
        <f>IFERROR(GETPIVOTDATA("dato",'[1]evolucion mensual nacionali'!$A$4,"indicador","ITALIA","mes",5,"año",2006),"-")</f>
        <v>3636</v>
      </c>
      <c r="R66" s="219" t="str">
        <f t="shared" si="32"/>
        <v>-</v>
      </c>
      <c r="S66" s="218">
        <f t="shared" si="54"/>
        <v>1189</v>
      </c>
      <c r="T66" s="219" t="str">
        <f t="shared" si="33"/>
        <v>-</v>
      </c>
      <c r="U66" s="218">
        <f>IFERROR(GETPIVOTDATA("dato",'[1]evolucion mensual nacionali'!$A$4,"indicador","SUECIA","mes",5,"año",2006),"-")</f>
        <v>67</v>
      </c>
      <c r="V66" s="219" t="str">
        <f t="shared" si="34"/>
        <v>-</v>
      </c>
      <c r="W66" s="218">
        <f>IFERROR(GETPIVOTDATA("dato",'[1]evolucion mensual nacionali'!$A$4,"indicador","NORUEGA","mes",5,"año",2006),"-")</f>
        <v>26</v>
      </c>
      <c r="X66" s="219" t="str">
        <f t="shared" si="35"/>
        <v>-</v>
      </c>
      <c r="Y66" s="218">
        <f>IFERROR(GETPIVOTDATA("dato",'[1]evolucion mensual nacionali'!$A$4,"indicador","DINAMARCA","mes",5,"año",2006),"-")</f>
        <v>817</v>
      </c>
      <c r="Z66" s="219" t="str">
        <f t="shared" si="36"/>
        <v>-</v>
      </c>
      <c r="AA66" s="218">
        <f>IFERROR(GETPIVOTDATA("dato",'[1]evolucion mensual nacionali'!$A$4,"indicador","FINLANDIA","mes",5,"año",2006),"-")</f>
        <v>279</v>
      </c>
      <c r="AB66" s="219" t="str">
        <f t="shared" si="37"/>
        <v>-</v>
      </c>
      <c r="AC66" s="218">
        <f>IFERROR(GETPIVOTDATA("dato",'[1]evolucion mensual nacionali'!$A$4,"indicador","SUIZA","mes",5,"año",2006),"-")</f>
        <v>797</v>
      </c>
      <c r="AD66" s="219" t="str">
        <f t="shared" si="38"/>
        <v>-</v>
      </c>
      <c r="AE66" s="218">
        <f>IFERROR(GETPIVOTDATA("dato",'[1]evolucion mensual nacionali'!$A$4,"indicador","AUSTRIA","mes",5,"año",2006),"-")</f>
        <v>925</v>
      </c>
      <c r="AF66" s="219" t="str">
        <f t="shared" si="39"/>
        <v>-</v>
      </c>
      <c r="AG66" s="218">
        <f>IFERROR(GETPIVOTDATA("dato",'[1]evolucion mensual nacionali'!$A$4,"indicador","RUSIA","mes",5,"año",2006),"-")</f>
        <v>3384</v>
      </c>
      <c r="AH66" s="219" t="str">
        <f t="shared" si="40"/>
        <v>-</v>
      </c>
      <c r="AI66" s="218">
        <f>IFERROR(GETPIVOTDATA("dato",'[1]evolucion mensual nacionali'!$A$4,"indicador","PAÍSES DEL ESTE","mes",5,"año",2006),"-")</f>
        <v>1508</v>
      </c>
      <c r="AJ66" s="219" t="str">
        <f t="shared" si="41"/>
        <v>-</v>
      </c>
      <c r="AK66" s="218">
        <f>IFERROR(GETPIVOTDATA("dato",'[1]evolucion mensual nacionali'!$A$4,"indicador","RESTO DE EUROPA","mes",5,"año",2006),"-")</f>
        <v>1682</v>
      </c>
      <c r="AL66" s="219" t="str">
        <f t="shared" si="42"/>
        <v>-</v>
      </c>
      <c r="AM66" s="218">
        <f>IFERROR(GETPIVOTDATA("dato",'[1]evolucion mensual nacionali'!$A$4,"indicador","USA","mes",5,"año",2006),"-")</f>
        <v>374</v>
      </c>
      <c r="AN66" s="219" t="str">
        <f t="shared" si="43"/>
        <v>-</v>
      </c>
      <c r="AO66" s="218">
        <f>IFERROR(GETPIVOTDATA("dato",'[1]evolucion mensual nacionali'!$A$4,"indicador","RESTO DE AMÉRICA","mes",5,"año",2006),"-")</f>
        <v>233</v>
      </c>
      <c r="AP66" s="219" t="str">
        <f t="shared" si="44"/>
        <v>-</v>
      </c>
      <c r="AQ66" s="218">
        <f>IFERROR(GETPIVOTDATA("dato",'[1]evolucion mensual nacionali'!$A$4,"indicador","RESTO DEL MUNDO","mes",5,"año",2006),"-")</f>
        <v>589</v>
      </c>
      <c r="AR66" s="219" t="str">
        <f t="shared" si="45"/>
        <v>-</v>
      </c>
      <c r="AS66" s="218">
        <f t="shared" si="55"/>
        <v>102721</v>
      </c>
      <c r="AT66" s="219" t="str">
        <f t="shared" si="46"/>
        <v>-</v>
      </c>
      <c r="AU66" s="205">
        <f>IFERROR(GETPIVOTDATA("dato",'[1]evolucion mensual nacionali'!$A$4,"indicador","TOTAL","mes",5,"año",2006),"-")</f>
        <v>132318</v>
      </c>
      <c r="AV66" s="206" t="str">
        <f t="shared" si="47"/>
        <v>-</v>
      </c>
    </row>
    <row r="67" spans="2:48" hidden="1" outlineLevel="1">
      <c r="B67" s="51" t="s">
        <v>45</v>
      </c>
      <c r="C67" s="218">
        <f>IFERROR(GETPIVOTDATA("dato",'[1]evolucion mensual nacionali'!$A$4,"indicador","España","mes",4,"año",2006),"-")</f>
        <v>39143</v>
      </c>
      <c r="D67" s="219" t="str">
        <f t="shared" si="25"/>
        <v>-</v>
      </c>
      <c r="E67" s="218">
        <f>IFERROR(GETPIVOTDATA("dato",'[1]evolucion mensual nacionali'!$A$4,"indicador","HOLANDA","mes",4,"año",2006),"-")</f>
        <v>5977</v>
      </c>
      <c r="F67" s="219" t="str">
        <f t="shared" si="26"/>
        <v>-</v>
      </c>
      <c r="G67" s="218">
        <f>IFERROR(GETPIVOTDATA("dato",'[1]evolucion mensual nacionali'!$A$4,"indicador","BÉLGICA","mes",4,"año",2006),"-")</f>
        <v>6766</v>
      </c>
      <c r="H67" s="219" t="str">
        <f t="shared" si="27"/>
        <v>-</v>
      </c>
      <c r="I67" s="218">
        <f>IFERROR(GETPIVOTDATA("dato",'[1]evolucion mensual nacionali'!$A$4,"indicador","ALEMANIA","mes",4,"año",2006),"-")</f>
        <v>29240</v>
      </c>
      <c r="J67" s="219" t="str">
        <f t="shared" si="28"/>
        <v>-</v>
      </c>
      <c r="K67" s="218">
        <f>IFERROR(GETPIVOTDATA("dato",'[1]evolucion mensual nacionali'!$A$4,"indicador","FRANCIA","mes",4,"año",2006),"-")</f>
        <v>4960</v>
      </c>
      <c r="L67" s="219" t="str">
        <f t="shared" si="29"/>
        <v>-</v>
      </c>
      <c r="M67" s="218">
        <f>IFERROR(GETPIVOTDATA("dato",'[1]evolucion mensual nacionali'!$A$4,"indicador","REINO UNIDO","mes",4,"año",2006),"-")</f>
        <v>60510</v>
      </c>
      <c r="N67" s="219" t="str">
        <f t="shared" si="30"/>
        <v>-</v>
      </c>
      <c r="O67" s="218">
        <f>IFERROR(GETPIVOTDATA("dato",'[1]evolucion mensual nacionali'!$A$4,"indicador","IRLANDA","mes",4,"año",2006),"-")</f>
        <v>1042</v>
      </c>
      <c r="P67" s="219" t="str">
        <f t="shared" si="31"/>
        <v>-</v>
      </c>
      <c r="Q67" s="218">
        <f>IFERROR(GETPIVOTDATA("dato",'[1]evolucion mensual nacionali'!$A$4,"indicador","ITALIA","mes",4,"año",2006),"-")</f>
        <v>3710</v>
      </c>
      <c r="R67" s="219" t="str">
        <f t="shared" si="32"/>
        <v>-</v>
      </c>
      <c r="S67" s="218">
        <f t="shared" si="54"/>
        <v>10585</v>
      </c>
      <c r="T67" s="219" t="str">
        <f t="shared" si="33"/>
        <v>-</v>
      </c>
      <c r="U67" s="218">
        <f>IFERROR(GETPIVOTDATA("dato",'[1]evolucion mensual nacionali'!$A$4,"indicador","SUECIA","mes",4,"año",2006),"-")</f>
        <v>3852</v>
      </c>
      <c r="V67" s="219" t="str">
        <f t="shared" si="34"/>
        <v>-</v>
      </c>
      <c r="W67" s="218">
        <f>IFERROR(GETPIVOTDATA("dato",'[1]evolucion mensual nacionali'!$A$4,"indicador","NORUEGA","mes",4,"año",2006),"-")</f>
        <v>1456</v>
      </c>
      <c r="X67" s="219" t="str">
        <f t="shared" si="35"/>
        <v>-</v>
      </c>
      <c r="Y67" s="218">
        <f>IFERROR(GETPIVOTDATA("dato",'[1]evolucion mensual nacionali'!$A$4,"indicador","DINAMARCA","mes",4,"año",2006),"-")</f>
        <v>3479</v>
      </c>
      <c r="Z67" s="219" t="str">
        <f t="shared" si="36"/>
        <v>-</v>
      </c>
      <c r="AA67" s="218">
        <f>IFERROR(GETPIVOTDATA("dato",'[1]evolucion mensual nacionali'!$A$4,"indicador","FINLANDIA","mes",4,"año",2006),"-")</f>
        <v>1798</v>
      </c>
      <c r="AB67" s="219" t="str">
        <f t="shared" si="37"/>
        <v>-</v>
      </c>
      <c r="AC67" s="218">
        <f>IFERROR(GETPIVOTDATA("dato",'[1]evolucion mensual nacionali'!$A$4,"indicador","SUIZA","mes",4,"año",2006),"-")</f>
        <v>933</v>
      </c>
      <c r="AD67" s="219" t="str">
        <f t="shared" si="38"/>
        <v>-</v>
      </c>
      <c r="AE67" s="218">
        <f>IFERROR(GETPIVOTDATA("dato",'[1]evolucion mensual nacionali'!$A$4,"indicador","AUSTRIA","mes",4,"año",2006),"-")</f>
        <v>1360</v>
      </c>
      <c r="AF67" s="219" t="str">
        <f t="shared" si="39"/>
        <v>-</v>
      </c>
      <c r="AG67" s="218">
        <f>IFERROR(GETPIVOTDATA("dato",'[1]evolucion mensual nacionali'!$A$4,"indicador","RUSIA","mes",4,"año",2006),"-")</f>
        <v>3873</v>
      </c>
      <c r="AH67" s="219" t="str">
        <f t="shared" si="40"/>
        <v>-</v>
      </c>
      <c r="AI67" s="218">
        <f>IFERROR(GETPIVOTDATA("dato",'[1]evolucion mensual nacionali'!$A$4,"indicador","PAÍSES DEL ESTE","mes",4,"año",2006),"-")</f>
        <v>1553</v>
      </c>
      <c r="AJ67" s="219" t="str">
        <f t="shared" si="41"/>
        <v>-</v>
      </c>
      <c r="AK67" s="218">
        <f>IFERROR(GETPIVOTDATA("dato",'[1]evolucion mensual nacionali'!$A$4,"indicador","RESTO DE EUROPA","mes",4,"año",2006),"-")</f>
        <v>2790</v>
      </c>
      <c r="AL67" s="219" t="str">
        <f t="shared" si="42"/>
        <v>-</v>
      </c>
      <c r="AM67" s="218">
        <f>IFERROR(GETPIVOTDATA("dato",'[1]evolucion mensual nacionali'!$A$4,"indicador","USA","mes",4,"año",2006),"-")</f>
        <v>615</v>
      </c>
      <c r="AN67" s="219" t="str">
        <f t="shared" si="43"/>
        <v>-</v>
      </c>
      <c r="AO67" s="218">
        <f>IFERROR(GETPIVOTDATA("dato",'[1]evolucion mensual nacionali'!$A$4,"indicador","RESTO DE AMÉRICA","mes",4,"año",2006),"-")</f>
        <v>292</v>
      </c>
      <c r="AP67" s="219" t="str">
        <f t="shared" si="44"/>
        <v>-</v>
      </c>
      <c r="AQ67" s="218">
        <f>IFERROR(GETPIVOTDATA("dato",'[1]evolucion mensual nacionali'!$A$4,"indicador","RESTO DEL MUNDO","mes",4,"año",2006),"-")</f>
        <v>693</v>
      </c>
      <c r="AR67" s="219" t="str">
        <f t="shared" si="45"/>
        <v>-</v>
      </c>
      <c r="AS67" s="218">
        <f t="shared" si="55"/>
        <v>134899</v>
      </c>
      <c r="AT67" s="219" t="str">
        <f t="shared" si="46"/>
        <v>-</v>
      </c>
      <c r="AU67" s="205">
        <f>IFERROR(GETPIVOTDATA("dato",'[1]evolucion mensual nacionali'!$A$4,"indicador","TOTAL","mes",4,"año",2006),"-")</f>
        <v>174042</v>
      </c>
      <c r="AV67" s="206" t="str">
        <f t="shared" si="47"/>
        <v>-</v>
      </c>
    </row>
    <row r="68" spans="2:48" hidden="1" outlineLevel="1">
      <c r="B68" s="51" t="s">
        <v>46</v>
      </c>
      <c r="C68" s="218">
        <f>IFERROR(GETPIVOTDATA("dato",'[1]evolucion mensual nacionali'!$A$4,"indicador","España","mes",3,"año",2006),"-")</f>
        <v>18754</v>
      </c>
      <c r="D68" s="219" t="str">
        <f t="shared" si="25"/>
        <v>-</v>
      </c>
      <c r="E68" s="218">
        <f>IFERROR(GETPIVOTDATA("dato",'[1]evolucion mensual nacionali'!$A$4,"indicador","HOLANDA","mes",3,"año",2006),"-")</f>
        <v>5952</v>
      </c>
      <c r="F68" s="219" t="str">
        <f t="shared" si="26"/>
        <v>-</v>
      </c>
      <c r="G68" s="218">
        <f>IFERROR(GETPIVOTDATA("dato",'[1]evolucion mensual nacionali'!$A$4,"indicador","BÉLGICA","mes",3,"año",2006),"-")</f>
        <v>5533</v>
      </c>
      <c r="H68" s="219" t="str">
        <f t="shared" si="27"/>
        <v>-</v>
      </c>
      <c r="I68" s="218">
        <f>IFERROR(GETPIVOTDATA("dato",'[1]evolucion mensual nacionali'!$A$4,"indicador","ALEMANIA","mes",3,"año",2006),"-")</f>
        <v>27319</v>
      </c>
      <c r="J68" s="219" t="str">
        <f t="shared" si="28"/>
        <v>-</v>
      </c>
      <c r="K68" s="218">
        <f>IFERROR(GETPIVOTDATA("dato",'[1]evolucion mensual nacionali'!$A$4,"indicador","FRANCIA","mes",3,"año",2006),"-")</f>
        <v>3481</v>
      </c>
      <c r="L68" s="219" t="str">
        <f t="shared" si="29"/>
        <v>-</v>
      </c>
      <c r="M68" s="218">
        <f>IFERROR(GETPIVOTDATA("dato",'[1]evolucion mensual nacionali'!$A$4,"indicador","REINO UNIDO","mes",3,"año",2006),"-")</f>
        <v>69828</v>
      </c>
      <c r="N68" s="219" t="str">
        <f t="shared" si="30"/>
        <v>-</v>
      </c>
      <c r="O68" s="218">
        <f>IFERROR(GETPIVOTDATA("dato",'[1]evolucion mensual nacionali'!$A$4,"indicador","IRLANDA","mes",3,"año",2006),"-")</f>
        <v>913</v>
      </c>
      <c r="P68" s="219" t="str">
        <f t="shared" si="31"/>
        <v>-</v>
      </c>
      <c r="Q68" s="218">
        <f>IFERROR(GETPIVOTDATA("dato",'[1]evolucion mensual nacionali'!$A$4,"indicador","ITALIA","mes",3,"año",2006),"-")</f>
        <v>4271</v>
      </c>
      <c r="R68" s="219" t="str">
        <f t="shared" si="32"/>
        <v>-</v>
      </c>
      <c r="S68" s="218">
        <f t="shared" si="54"/>
        <v>20413</v>
      </c>
      <c r="T68" s="219" t="str">
        <f t="shared" si="33"/>
        <v>-</v>
      </c>
      <c r="U68" s="218">
        <f>IFERROR(GETPIVOTDATA("dato",'[1]evolucion mensual nacionali'!$A$4,"indicador","SUECIA","mes",3,"año",2006),"-")</f>
        <v>6819</v>
      </c>
      <c r="V68" s="219" t="str">
        <f t="shared" si="34"/>
        <v>-</v>
      </c>
      <c r="W68" s="218">
        <f>IFERROR(GETPIVOTDATA("dato",'[1]evolucion mensual nacionali'!$A$4,"indicador","NORUEGA","mes",3,"año",2006),"-")</f>
        <v>2853</v>
      </c>
      <c r="X68" s="219" t="str">
        <f t="shared" si="35"/>
        <v>-</v>
      </c>
      <c r="Y68" s="218">
        <f>IFERROR(GETPIVOTDATA("dato",'[1]evolucion mensual nacionali'!$A$4,"indicador","DINAMARCA","mes",3,"año",2006),"-")</f>
        <v>5608</v>
      </c>
      <c r="Z68" s="219" t="str">
        <f t="shared" si="36"/>
        <v>-</v>
      </c>
      <c r="AA68" s="218">
        <f>IFERROR(GETPIVOTDATA("dato",'[1]evolucion mensual nacionali'!$A$4,"indicador","FINLANDIA","mes",3,"año",2006),"-")</f>
        <v>5133</v>
      </c>
      <c r="AB68" s="219" t="str">
        <f t="shared" si="37"/>
        <v>-</v>
      </c>
      <c r="AC68" s="218">
        <f>IFERROR(GETPIVOTDATA("dato",'[1]evolucion mensual nacionali'!$A$4,"indicador","SUIZA","mes",3,"año",2006),"-")</f>
        <v>799</v>
      </c>
      <c r="AD68" s="219" t="str">
        <f t="shared" si="38"/>
        <v>-</v>
      </c>
      <c r="AE68" s="218">
        <f>IFERROR(GETPIVOTDATA("dato",'[1]evolucion mensual nacionali'!$A$4,"indicador","AUSTRIA","mes",3,"año",2006),"-")</f>
        <v>1015</v>
      </c>
      <c r="AF68" s="219" t="str">
        <f t="shared" si="39"/>
        <v>-</v>
      </c>
      <c r="AG68" s="218">
        <f>IFERROR(GETPIVOTDATA("dato",'[1]evolucion mensual nacionali'!$A$4,"indicador","RUSIA","mes",3,"año",2006),"-")</f>
        <v>2926</v>
      </c>
      <c r="AH68" s="219" t="str">
        <f t="shared" si="40"/>
        <v>-</v>
      </c>
      <c r="AI68" s="218">
        <f>IFERROR(GETPIVOTDATA("dato",'[1]evolucion mensual nacionali'!$A$4,"indicador","PAÍSES DEL ESTE","mes",3,"año",2006),"-")</f>
        <v>1761</v>
      </c>
      <c r="AJ68" s="219" t="str">
        <f t="shared" si="41"/>
        <v>-</v>
      </c>
      <c r="AK68" s="218">
        <f>IFERROR(GETPIVOTDATA("dato",'[1]evolucion mensual nacionali'!$A$4,"indicador","RESTO DE EUROPA","mes",3,"año",2006),"-")</f>
        <v>2689</v>
      </c>
      <c r="AL68" s="219" t="str">
        <f t="shared" si="42"/>
        <v>-</v>
      </c>
      <c r="AM68" s="218">
        <f>IFERROR(GETPIVOTDATA("dato",'[1]evolucion mensual nacionali'!$A$4,"indicador","USA","mes",3,"año",2006),"-")</f>
        <v>616</v>
      </c>
      <c r="AN68" s="219" t="str">
        <f t="shared" si="43"/>
        <v>-</v>
      </c>
      <c r="AO68" s="218">
        <f>IFERROR(GETPIVOTDATA("dato",'[1]evolucion mensual nacionali'!$A$4,"indicador","RESTO DE AMÉRICA","mes",3,"año",2006),"-")</f>
        <v>540</v>
      </c>
      <c r="AP68" s="219" t="str">
        <f t="shared" si="44"/>
        <v>-</v>
      </c>
      <c r="AQ68" s="218">
        <f>IFERROR(GETPIVOTDATA("dato",'[1]evolucion mensual nacionali'!$A$4,"indicador","RESTO DEL MUNDO","mes",3,"año",2006),"-")</f>
        <v>939</v>
      </c>
      <c r="AR68" s="219" t="str">
        <f t="shared" si="45"/>
        <v>-</v>
      </c>
      <c r="AS68" s="218">
        <f t="shared" si="55"/>
        <v>148995</v>
      </c>
      <c r="AT68" s="219" t="str">
        <f t="shared" si="46"/>
        <v>-</v>
      </c>
      <c r="AU68" s="205">
        <f>IFERROR(GETPIVOTDATA("dato",'[1]evolucion mensual nacionali'!$A$4,"indicador","TOTAL","mes",3,"año",2006),"-")</f>
        <v>167749</v>
      </c>
      <c r="AV68" s="206" t="str">
        <f t="shared" si="47"/>
        <v>-</v>
      </c>
    </row>
    <row r="69" spans="2:48" hidden="1" outlineLevel="1">
      <c r="B69" s="51" t="s">
        <v>47</v>
      </c>
      <c r="C69" s="218">
        <f>IFERROR(GETPIVOTDATA("dato",'[1]evolucion mensual nacionali'!$A$4,"indicador","España","mes",2,"año",2006),"-")</f>
        <v>16239</v>
      </c>
      <c r="D69" s="219" t="str">
        <f t="shared" si="25"/>
        <v>-</v>
      </c>
      <c r="E69" s="218">
        <f>IFERROR(GETPIVOTDATA("dato",'[1]evolucion mensual nacionali'!$A$4,"indicador","HOLANDA","mes",2,"año",2006),"-")</f>
        <v>6280</v>
      </c>
      <c r="F69" s="219" t="str">
        <f t="shared" si="26"/>
        <v>-</v>
      </c>
      <c r="G69" s="218">
        <f>IFERROR(GETPIVOTDATA("dato",'[1]evolucion mensual nacionali'!$A$4,"indicador","BÉLGICA","mes",2,"año",2006),"-")</f>
        <v>5533</v>
      </c>
      <c r="H69" s="219" t="str">
        <f t="shared" si="27"/>
        <v>-</v>
      </c>
      <c r="I69" s="218">
        <f>IFERROR(GETPIVOTDATA("dato",'[1]evolucion mensual nacionali'!$A$4,"indicador","ALEMANIA","mes",2,"año",2006),"-")</f>
        <v>24130</v>
      </c>
      <c r="J69" s="219" t="str">
        <f t="shared" si="28"/>
        <v>-</v>
      </c>
      <c r="K69" s="218">
        <f>IFERROR(GETPIVOTDATA("dato",'[1]evolucion mensual nacionali'!$A$4,"indicador","FRANCIA","mes",2,"año",2006),"-")</f>
        <v>4220</v>
      </c>
      <c r="L69" s="219" t="str">
        <f t="shared" si="29"/>
        <v>-</v>
      </c>
      <c r="M69" s="218">
        <f>IFERROR(GETPIVOTDATA("dato",'[1]evolucion mensual nacionali'!$A$4,"indicador","REINO UNIDO","mes",2,"año",2006),"-")</f>
        <v>59405</v>
      </c>
      <c r="N69" s="219" t="str">
        <f t="shared" si="30"/>
        <v>-</v>
      </c>
      <c r="O69" s="218">
        <f>IFERROR(GETPIVOTDATA("dato",'[1]evolucion mensual nacionali'!$A$4,"indicador","IRLANDA","mes",2,"año",2006),"-")</f>
        <v>978</v>
      </c>
      <c r="P69" s="219" t="str">
        <f t="shared" si="31"/>
        <v>-</v>
      </c>
      <c r="Q69" s="218">
        <f>IFERROR(GETPIVOTDATA("dato",'[1]evolucion mensual nacionali'!$A$4,"indicador","ITALIA","mes",2,"año",2006),"-")</f>
        <v>5389</v>
      </c>
      <c r="R69" s="219" t="str">
        <f t="shared" si="32"/>
        <v>-</v>
      </c>
      <c r="S69" s="218">
        <f t="shared" si="54"/>
        <v>19533</v>
      </c>
      <c r="T69" s="219" t="str">
        <f t="shared" si="33"/>
        <v>-</v>
      </c>
      <c r="U69" s="218">
        <f>IFERROR(GETPIVOTDATA("dato",'[1]evolucion mensual nacionali'!$A$4,"indicador","SUECIA","mes",2,"año",2006),"-")</f>
        <v>6006</v>
      </c>
      <c r="V69" s="219" t="str">
        <f t="shared" si="34"/>
        <v>-</v>
      </c>
      <c r="W69" s="218">
        <f>IFERROR(GETPIVOTDATA("dato",'[1]evolucion mensual nacionali'!$A$4,"indicador","NORUEGA","mes",2,"año",2006),"-")</f>
        <v>3147</v>
      </c>
      <c r="X69" s="219" t="str">
        <f t="shared" si="35"/>
        <v>-</v>
      </c>
      <c r="Y69" s="218">
        <f>IFERROR(GETPIVOTDATA("dato",'[1]evolucion mensual nacionali'!$A$4,"indicador","DINAMARCA","mes",2,"año",2006),"-")</f>
        <v>5582</v>
      </c>
      <c r="Z69" s="219" t="str">
        <f t="shared" si="36"/>
        <v>-</v>
      </c>
      <c r="AA69" s="218">
        <f>IFERROR(GETPIVOTDATA("dato",'[1]evolucion mensual nacionali'!$A$4,"indicador","FINLANDIA","mes",2,"año",2006),"-")</f>
        <v>4798</v>
      </c>
      <c r="AB69" s="219" t="str">
        <f t="shared" si="37"/>
        <v>-</v>
      </c>
      <c r="AC69" s="218">
        <f>IFERROR(GETPIVOTDATA("dato",'[1]evolucion mensual nacionali'!$A$4,"indicador","SUIZA","mes",2,"año",2006),"-")</f>
        <v>611</v>
      </c>
      <c r="AD69" s="219" t="str">
        <f t="shared" si="38"/>
        <v>-</v>
      </c>
      <c r="AE69" s="218">
        <f>IFERROR(GETPIVOTDATA("dato",'[1]evolucion mensual nacionali'!$A$4,"indicador","AUSTRIA","mes",2,"año",2006),"-")</f>
        <v>1199</v>
      </c>
      <c r="AF69" s="219" t="str">
        <f t="shared" si="39"/>
        <v>-</v>
      </c>
      <c r="AG69" s="218">
        <f>IFERROR(GETPIVOTDATA("dato",'[1]evolucion mensual nacionali'!$A$4,"indicador","RUSIA","mes",2,"año",2006),"-")</f>
        <v>1916</v>
      </c>
      <c r="AH69" s="219" t="str">
        <f t="shared" si="40"/>
        <v>-</v>
      </c>
      <c r="AI69" s="218">
        <f>IFERROR(GETPIVOTDATA("dato",'[1]evolucion mensual nacionali'!$A$4,"indicador","PAÍSES DEL ESTE","mes",2,"año",2006),"-")</f>
        <v>1574</v>
      </c>
      <c r="AJ69" s="219" t="str">
        <f t="shared" si="41"/>
        <v>-</v>
      </c>
      <c r="AK69" s="218">
        <f>IFERROR(GETPIVOTDATA("dato",'[1]evolucion mensual nacionali'!$A$4,"indicador","RESTO DE EUROPA","mes",2,"año",2006),"-")</f>
        <v>1978</v>
      </c>
      <c r="AL69" s="219" t="str">
        <f t="shared" si="42"/>
        <v>-</v>
      </c>
      <c r="AM69" s="218">
        <f>IFERROR(GETPIVOTDATA("dato",'[1]evolucion mensual nacionali'!$A$4,"indicador","USA","mes",2,"año",2006),"-")</f>
        <v>800</v>
      </c>
      <c r="AN69" s="219" t="str">
        <f t="shared" si="43"/>
        <v>-</v>
      </c>
      <c r="AO69" s="218">
        <f>IFERROR(GETPIVOTDATA("dato",'[1]evolucion mensual nacionali'!$A$4,"indicador","RESTO DE AMÉRICA","mes",2,"año",2006),"-")</f>
        <v>174</v>
      </c>
      <c r="AP69" s="219" t="str">
        <f t="shared" si="44"/>
        <v>-</v>
      </c>
      <c r="AQ69" s="218">
        <f>IFERROR(GETPIVOTDATA("dato",'[1]evolucion mensual nacionali'!$A$4,"indicador","RESTO DEL MUNDO","mes",2,"año",2006),"-")</f>
        <v>786</v>
      </c>
      <c r="AR69" s="219" t="str">
        <f t="shared" si="45"/>
        <v>-</v>
      </c>
      <c r="AS69" s="218">
        <f t="shared" si="55"/>
        <v>134506</v>
      </c>
      <c r="AT69" s="219" t="str">
        <f t="shared" si="46"/>
        <v>-</v>
      </c>
      <c r="AU69" s="205">
        <f>IFERROR(GETPIVOTDATA("dato",'[1]evolucion mensual nacionali'!$A$4,"indicador","TOTAL","mes",2,"año",2006),"-")</f>
        <v>150745</v>
      </c>
      <c r="AV69" s="206" t="str">
        <f t="shared" si="47"/>
        <v>-</v>
      </c>
    </row>
    <row r="70" spans="2:48" hidden="1" outlineLevel="1">
      <c r="B70" s="51" t="s">
        <v>48</v>
      </c>
      <c r="C70" s="218">
        <f>IFERROR(GETPIVOTDATA("dato",'[1]evolucion mensual nacionali'!$A$4,"indicador","España","mes",1,"año",2006),"-")</f>
        <v>16203</v>
      </c>
      <c r="D70" s="219" t="str">
        <f t="shared" si="25"/>
        <v>-</v>
      </c>
      <c r="E70" s="218">
        <f>IFERROR(GETPIVOTDATA("dato",'[1]evolucion mensual nacionali'!$A$4,"indicador","HOLANDA","mes",1,"año",2006),"-")</f>
        <v>5785</v>
      </c>
      <c r="F70" s="219" t="str">
        <f t="shared" si="26"/>
        <v>-</v>
      </c>
      <c r="G70" s="218">
        <f>IFERROR(GETPIVOTDATA("dato",'[1]evolucion mensual nacionali'!$A$4,"indicador","BÉLGICA","mes",1,"año",2006),"-")</f>
        <v>5890</v>
      </c>
      <c r="H70" s="219" t="str">
        <f t="shared" si="27"/>
        <v>-</v>
      </c>
      <c r="I70" s="218">
        <f>IFERROR(GETPIVOTDATA("dato",'[1]evolucion mensual nacionali'!$A$4,"indicador","ALEMANIA","mes",1,"año",2006),"-")</f>
        <v>23962</v>
      </c>
      <c r="J70" s="219" t="str">
        <f t="shared" si="28"/>
        <v>-</v>
      </c>
      <c r="K70" s="218">
        <f>IFERROR(GETPIVOTDATA("dato",'[1]evolucion mensual nacionali'!$A$4,"indicador","FRANCIA","mes",1,"año",2006),"-")</f>
        <v>2909</v>
      </c>
      <c r="L70" s="219" t="str">
        <f t="shared" si="29"/>
        <v>-</v>
      </c>
      <c r="M70" s="218">
        <f>IFERROR(GETPIVOTDATA("dato",'[1]evolucion mensual nacionali'!$A$4,"indicador","REINO UNIDO","mes",1,"año",2006),"-")</f>
        <v>56575</v>
      </c>
      <c r="N70" s="219" t="str">
        <f t="shared" si="30"/>
        <v>-</v>
      </c>
      <c r="O70" s="218">
        <f>IFERROR(GETPIVOTDATA("dato",'[1]evolucion mensual nacionali'!$A$4,"indicador","IRLANDA","mes",1,"año",2006),"-")</f>
        <v>825</v>
      </c>
      <c r="P70" s="219" t="str">
        <f t="shared" si="31"/>
        <v>-</v>
      </c>
      <c r="Q70" s="218">
        <f>IFERROR(GETPIVOTDATA("dato",'[1]evolucion mensual nacionali'!$A$4,"indicador","ITALIA","mes",1,"año",2006),"-")</f>
        <v>7685</v>
      </c>
      <c r="R70" s="219" t="str">
        <f t="shared" si="32"/>
        <v>-</v>
      </c>
      <c r="S70" s="218">
        <f t="shared" si="54"/>
        <v>21856</v>
      </c>
      <c r="T70" s="219" t="str">
        <f t="shared" si="33"/>
        <v>-</v>
      </c>
      <c r="U70" s="218">
        <f>IFERROR(GETPIVOTDATA("dato",'[1]evolucion mensual nacionali'!$A$4,"indicador","SUECIA","mes",1,"año",2006),"-")</f>
        <v>8133</v>
      </c>
      <c r="V70" s="219" t="str">
        <f t="shared" si="34"/>
        <v>-</v>
      </c>
      <c r="W70" s="218">
        <f>IFERROR(GETPIVOTDATA("dato",'[1]evolucion mensual nacionali'!$A$4,"indicador","NORUEGA","mes",1,"año",2006),"-")</f>
        <v>3296</v>
      </c>
      <c r="X70" s="219" t="str">
        <f t="shared" si="35"/>
        <v>-</v>
      </c>
      <c r="Y70" s="218">
        <f>IFERROR(GETPIVOTDATA("dato",'[1]evolucion mensual nacionali'!$A$4,"indicador","DINAMARCA","mes",1,"año",2006),"-")</f>
        <v>5480</v>
      </c>
      <c r="Z70" s="219" t="str">
        <f t="shared" si="36"/>
        <v>-</v>
      </c>
      <c r="AA70" s="218">
        <f>IFERROR(GETPIVOTDATA("dato",'[1]evolucion mensual nacionali'!$A$4,"indicador","FINLANDIA","mes",1,"año",2006),"-")</f>
        <v>4947</v>
      </c>
      <c r="AB70" s="219" t="str">
        <f t="shared" si="37"/>
        <v>-</v>
      </c>
      <c r="AC70" s="218">
        <f>IFERROR(GETPIVOTDATA("dato",'[1]evolucion mensual nacionali'!$A$4,"indicador","SUIZA","mes",1,"año",2006),"-")</f>
        <v>804</v>
      </c>
      <c r="AD70" s="219" t="str">
        <f t="shared" si="38"/>
        <v>-</v>
      </c>
      <c r="AE70" s="218">
        <f>IFERROR(GETPIVOTDATA("dato",'[1]evolucion mensual nacionali'!$A$4,"indicador","AUSTRIA","mes",1,"año",2006),"-")</f>
        <v>1107</v>
      </c>
      <c r="AF70" s="219" t="str">
        <f t="shared" si="39"/>
        <v>-</v>
      </c>
      <c r="AG70" s="218">
        <f>IFERROR(GETPIVOTDATA("dato",'[1]evolucion mensual nacionali'!$A$4,"indicador","RUSIA","mes",1,"año",2006),"-")</f>
        <v>3068</v>
      </c>
      <c r="AH70" s="219" t="str">
        <f t="shared" si="40"/>
        <v>-</v>
      </c>
      <c r="AI70" s="218">
        <f>IFERROR(GETPIVOTDATA("dato",'[1]evolucion mensual nacionali'!$A$4,"indicador","PAÍSES DEL ESTE","mes",1,"año",2006),"-")</f>
        <v>2036</v>
      </c>
      <c r="AJ70" s="219" t="str">
        <f t="shared" si="41"/>
        <v>-</v>
      </c>
      <c r="AK70" s="218">
        <f>IFERROR(GETPIVOTDATA("dato",'[1]evolucion mensual nacionali'!$A$4,"indicador","RESTO DE EUROPA","mes",1,"año",2006),"-")</f>
        <v>2460</v>
      </c>
      <c r="AL70" s="219" t="str">
        <f t="shared" si="42"/>
        <v>-</v>
      </c>
      <c r="AM70" s="218">
        <f>IFERROR(GETPIVOTDATA("dato",'[1]evolucion mensual nacionali'!$A$4,"indicador","USA","mes",1,"año",2006),"-")</f>
        <v>379</v>
      </c>
      <c r="AN70" s="219" t="str">
        <f t="shared" si="43"/>
        <v>-</v>
      </c>
      <c r="AO70" s="218">
        <f>IFERROR(GETPIVOTDATA("dato",'[1]evolucion mensual nacionali'!$A$4,"indicador","RESTO DE AMÉRICA","mes",1,"año",2006),"-")</f>
        <v>139</v>
      </c>
      <c r="AP70" s="219" t="str">
        <f t="shared" si="44"/>
        <v>-</v>
      </c>
      <c r="AQ70" s="218">
        <f>IFERROR(GETPIVOTDATA("dato",'[1]evolucion mensual nacionali'!$A$4,"indicador","RESTO DEL MUNDO","mes",1,"año",2006),"-")</f>
        <v>985</v>
      </c>
      <c r="AR70" s="219" t="str">
        <f t="shared" si="45"/>
        <v>-</v>
      </c>
      <c r="AS70" s="218">
        <f t="shared" si="55"/>
        <v>136465</v>
      </c>
      <c r="AT70" s="219" t="str">
        <f t="shared" si="46"/>
        <v>-</v>
      </c>
      <c r="AU70" s="205">
        <f>IFERROR(GETPIVOTDATA("dato",'[1]evolucion mensual nacionali'!$A$4,"indicador","TOTAL","mes",1,"año",2006),"-")</f>
        <v>152668</v>
      </c>
      <c r="AV70" s="206" t="str">
        <f t="shared" si="47"/>
        <v>-</v>
      </c>
    </row>
    <row r="71" spans="2:48" collapsed="1">
      <c r="B71" s="215">
        <v>2006</v>
      </c>
      <c r="C71" s="216">
        <f>GETPIVOTDATA("dato",'[1]evolucion mensual nacionali'!$A$4,"indicador","España","año",2006)</f>
        <v>366364</v>
      </c>
      <c r="D71" s="217" t="str">
        <f t="shared" si="25"/>
        <v>-</v>
      </c>
      <c r="E71" s="216">
        <f>GETPIVOTDATA("dato",'[1]evolucion mensual nacionali'!$A$4,"indicador","HOLANDA","año",2006)</f>
        <v>70338</v>
      </c>
      <c r="F71" s="217" t="str">
        <f t="shared" si="26"/>
        <v>-</v>
      </c>
      <c r="G71" s="216">
        <f>GETPIVOTDATA("dato",'[1]evolucion mensual nacionali'!$A$4,"indicador","BÉLGICA","año",2006)</f>
        <v>65945</v>
      </c>
      <c r="H71" s="217" t="str">
        <f t="shared" si="27"/>
        <v>-</v>
      </c>
      <c r="I71" s="216">
        <f>GETPIVOTDATA("dato",'[1]evolucion mensual nacionali'!$A$4,"indicador","ALEMANIA","año",2006)</f>
        <v>278656</v>
      </c>
      <c r="J71" s="217" t="str">
        <f t="shared" si="28"/>
        <v>-</v>
      </c>
      <c r="K71" s="216">
        <f>GETPIVOTDATA("dato",'[1]evolucion mensual nacionali'!$A$4,"indicador","FRANCIA","año",2006)</f>
        <v>38114</v>
      </c>
      <c r="L71" s="217" t="str">
        <f t="shared" si="29"/>
        <v>-</v>
      </c>
      <c r="M71" s="216">
        <f>GETPIVOTDATA("dato",'[1]evolucion mensual nacionali'!$A$4,"indicador","REINO UNIDO","año",2006)</f>
        <v>756504</v>
      </c>
      <c r="N71" s="217" t="str">
        <f t="shared" si="30"/>
        <v>-</v>
      </c>
      <c r="O71" s="216">
        <f>GETPIVOTDATA("dato",'[1]evolucion mensual nacionali'!$A$4,"indicador","IRLANDA","año",2006)</f>
        <v>15294</v>
      </c>
      <c r="P71" s="217" t="str">
        <f t="shared" si="31"/>
        <v>-</v>
      </c>
      <c r="Q71" s="216">
        <f>GETPIVOTDATA("dato",'[1]evolucion mensual nacionali'!$A$4,"indicador","ITALIA","año",2006)</f>
        <v>60361</v>
      </c>
      <c r="R71" s="217" t="str">
        <f t="shared" si="32"/>
        <v>-</v>
      </c>
      <c r="S71" s="216">
        <f t="shared" si="54"/>
        <v>124848</v>
      </c>
      <c r="T71" s="217" t="str">
        <f t="shared" si="33"/>
        <v>-</v>
      </c>
      <c r="U71" s="216">
        <f>GETPIVOTDATA("dato",'[1]evolucion mensual nacionali'!$A$4,"indicador","SUECIA","año",2006)</f>
        <v>42893</v>
      </c>
      <c r="V71" s="217" t="str">
        <f t="shared" si="34"/>
        <v>-</v>
      </c>
      <c r="W71" s="216">
        <f>GETPIVOTDATA("dato",'[1]evolucion mensual nacionali'!$A$4,"indicador","NORUEGA","año",2006)</f>
        <v>19992</v>
      </c>
      <c r="X71" s="217" t="str">
        <f t="shared" si="35"/>
        <v>-</v>
      </c>
      <c r="Y71" s="216">
        <f>GETPIVOTDATA("dato",'[1]evolucion mensual nacionali'!$A$4,"indicador","DINAMARCA","año",2006)</f>
        <v>36020</v>
      </c>
      <c r="Z71" s="217" t="str">
        <f t="shared" si="36"/>
        <v>-</v>
      </c>
      <c r="AA71" s="216">
        <f>GETPIVOTDATA("dato",'[1]evolucion mensual nacionali'!$A$4,"indicador","FINLANDIA","año",2006)</f>
        <v>25943</v>
      </c>
      <c r="AB71" s="217" t="str">
        <f t="shared" si="37"/>
        <v>-</v>
      </c>
      <c r="AC71" s="216">
        <f>GETPIVOTDATA("dato",'[1]evolucion mensual nacionali'!$A$4,"indicador","SUIZA","año",2006)</f>
        <v>12097</v>
      </c>
      <c r="AD71" s="217" t="str">
        <f t="shared" si="38"/>
        <v>-</v>
      </c>
      <c r="AE71" s="216">
        <f>GETPIVOTDATA("dato",'[1]evolucion mensual nacionali'!$A$4,"indicador","AUSTRIA","año",2006)</f>
        <v>14387</v>
      </c>
      <c r="AF71" s="217" t="str">
        <f t="shared" si="39"/>
        <v>-</v>
      </c>
      <c r="AG71" s="216">
        <f>GETPIVOTDATA("dato",'[1]evolucion mensual nacionali'!$A$4,"indicador","RUSIA","año",2006)</f>
        <v>42533</v>
      </c>
      <c r="AH71" s="217" t="str">
        <f t="shared" si="40"/>
        <v>-</v>
      </c>
      <c r="AI71" s="216">
        <f>GETPIVOTDATA("dato",'[1]evolucion mensual nacionali'!$A$4,"indicador","PAÍSES DEL ESTE","año",2006)</f>
        <v>32914</v>
      </c>
      <c r="AJ71" s="217" t="str">
        <f t="shared" si="41"/>
        <v>-</v>
      </c>
      <c r="AK71" s="216">
        <f>GETPIVOTDATA("dato",'[1]evolucion mensual nacionali'!$A$4,"indicador","RESTO DE EUROPA","año",2006)</f>
        <v>33287</v>
      </c>
      <c r="AL71" s="217" t="str">
        <f t="shared" si="42"/>
        <v>-</v>
      </c>
      <c r="AM71" s="216">
        <f>GETPIVOTDATA("dato",'[1]evolucion mensual nacionali'!$A$4,"indicador","USA","año",2006)</f>
        <v>5305</v>
      </c>
      <c r="AN71" s="217" t="str">
        <f t="shared" si="43"/>
        <v>-</v>
      </c>
      <c r="AO71" s="216">
        <f>GETPIVOTDATA("dato",'[1]evolucion mensual nacionali'!$A$4,"indicador","RESTO DE AMÉRICA","año",2006)</f>
        <v>3128</v>
      </c>
      <c r="AP71" s="217" t="str">
        <f t="shared" si="44"/>
        <v>-</v>
      </c>
      <c r="AQ71" s="216">
        <f>GETPIVOTDATA("dato",'[1]evolucion mensual nacionali'!$A$4,"indicador","RESTO DEL MUNDO","año",2006)</f>
        <v>11344</v>
      </c>
      <c r="AR71" s="217" t="str">
        <f t="shared" si="45"/>
        <v>-</v>
      </c>
      <c r="AS71" s="216">
        <f t="shared" si="55"/>
        <v>1565055</v>
      </c>
      <c r="AT71" s="217" t="str">
        <f t="shared" si="46"/>
        <v>-</v>
      </c>
      <c r="AU71" s="213">
        <f>GETPIVOTDATA("dato",'[1]evolucion mensual nacionali'!$A$4,"indicador","TOTAL","año",2006)</f>
        <v>1931419</v>
      </c>
      <c r="AV71" s="214" t="str">
        <f t="shared" si="47"/>
        <v>-</v>
      </c>
    </row>
  </sheetData>
  <mergeCells count="1">
    <mergeCell ref="B5:AV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23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B4:L55"/>
  <sheetViews>
    <sheetView showGridLines="0" showRowColHeaders="0" showOutlineSymbols="0" zoomScaleNormal="100" workbookViewId="0">
      <selection activeCell="B25" sqref="B25"/>
    </sheetView>
  </sheetViews>
  <sheetFormatPr baseColWidth="10" defaultRowHeight="12.75"/>
  <cols>
    <col min="1" max="2" width="11.42578125" style="2"/>
    <col min="3" max="3" width="36.7109375" style="2" customWidth="1"/>
    <col min="4" max="4" width="12.7109375" style="2" customWidth="1"/>
    <col min="5" max="5" width="12.42578125" style="2" customWidth="1"/>
    <col min="6" max="6" width="10.7109375" style="2" customWidth="1"/>
    <col min="7" max="7" width="11.5703125" style="2" customWidth="1"/>
    <col min="8" max="8" width="36.7109375" style="2" customWidth="1"/>
    <col min="9" max="258" width="11.42578125" style="2"/>
    <col min="259" max="259" width="36.7109375" style="2" customWidth="1"/>
    <col min="260" max="260" width="12.7109375" style="2" customWidth="1"/>
    <col min="261" max="261" width="12.42578125" style="2" customWidth="1"/>
    <col min="262" max="262" width="10.7109375" style="2" customWidth="1"/>
    <col min="263" max="263" width="4.7109375" style="2" customWidth="1"/>
    <col min="264" max="264" width="36.7109375" style="2" customWidth="1"/>
    <col min="265" max="514" width="11.42578125" style="2"/>
    <col min="515" max="515" width="36.7109375" style="2" customWidth="1"/>
    <col min="516" max="516" width="12.7109375" style="2" customWidth="1"/>
    <col min="517" max="517" width="12.42578125" style="2" customWidth="1"/>
    <col min="518" max="518" width="10.7109375" style="2" customWidth="1"/>
    <col min="519" max="519" width="4.7109375" style="2" customWidth="1"/>
    <col min="520" max="520" width="36.7109375" style="2" customWidth="1"/>
    <col min="521" max="770" width="11.42578125" style="2"/>
    <col min="771" max="771" width="36.7109375" style="2" customWidth="1"/>
    <col min="772" max="772" width="12.7109375" style="2" customWidth="1"/>
    <col min="773" max="773" width="12.42578125" style="2" customWidth="1"/>
    <col min="774" max="774" width="10.7109375" style="2" customWidth="1"/>
    <col min="775" max="775" width="4.7109375" style="2" customWidth="1"/>
    <col min="776" max="776" width="36.7109375" style="2" customWidth="1"/>
    <col min="777" max="1026" width="11.42578125" style="2"/>
    <col min="1027" max="1027" width="36.7109375" style="2" customWidth="1"/>
    <col min="1028" max="1028" width="12.7109375" style="2" customWidth="1"/>
    <col min="1029" max="1029" width="12.42578125" style="2" customWidth="1"/>
    <col min="1030" max="1030" width="10.7109375" style="2" customWidth="1"/>
    <col min="1031" max="1031" width="4.7109375" style="2" customWidth="1"/>
    <col min="1032" max="1032" width="36.7109375" style="2" customWidth="1"/>
    <col min="1033" max="1282" width="11.42578125" style="2"/>
    <col min="1283" max="1283" width="36.7109375" style="2" customWidth="1"/>
    <col min="1284" max="1284" width="12.7109375" style="2" customWidth="1"/>
    <col min="1285" max="1285" width="12.42578125" style="2" customWidth="1"/>
    <col min="1286" max="1286" width="10.7109375" style="2" customWidth="1"/>
    <col min="1287" max="1287" width="4.7109375" style="2" customWidth="1"/>
    <col min="1288" max="1288" width="36.7109375" style="2" customWidth="1"/>
    <col min="1289" max="1538" width="11.42578125" style="2"/>
    <col min="1539" max="1539" width="36.7109375" style="2" customWidth="1"/>
    <col min="1540" max="1540" width="12.7109375" style="2" customWidth="1"/>
    <col min="1541" max="1541" width="12.42578125" style="2" customWidth="1"/>
    <col min="1542" max="1542" width="10.7109375" style="2" customWidth="1"/>
    <col min="1543" max="1543" width="4.7109375" style="2" customWidth="1"/>
    <col min="1544" max="1544" width="36.7109375" style="2" customWidth="1"/>
    <col min="1545" max="1794" width="11.42578125" style="2"/>
    <col min="1795" max="1795" width="36.7109375" style="2" customWidth="1"/>
    <col min="1796" max="1796" width="12.7109375" style="2" customWidth="1"/>
    <col min="1797" max="1797" width="12.42578125" style="2" customWidth="1"/>
    <col min="1798" max="1798" width="10.7109375" style="2" customWidth="1"/>
    <col min="1799" max="1799" width="4.7109375" style="2" customWidth="1"/>
    <col min="1800" max="1800" width="36.7109375" style="2" customWidth="1"/>
    <col min="1801" max="2050" width="11.42578125" style="2"/>
    <col min="2051" max="2051" width="36.7109375" style="2" customWidth="1"/>
    <col min="2052" max="2052" width="12.7109375" style="2" customWidth="1"/>
    <col min="2053" max="2053" width="12.42578125" style="2" customWidth="1"/>
    <col min="2054" max="2054" width="10.7109375" style="2" customWidth="1"/>
    <col min="2055" max="2055" width="4.7109375" style="2" customWidth="1"/>
    <col min="2056" max="2056" width="36.7109375" style="2" customWidth="1"/>
    <col min="2057" max="2306" width="11.42578125" style="2"/>
    <col min="2307" max="2307" width="36.7109375" style="2" customWidth="1"/>
    <col min="2308" max="2308" width="12.7109375" style="2" customWidth="1"/>
    <col min="2309" max="2309" width="12.42578125" style="2" customWidth="1"/>
    <col min="2310" max="2310" width="10.7109375" style="2" customWidth="1"/>
    <col min="2311" max="2311" width="4.7109375" style="2" customWidth="1"/>
    <col min="2312" max="2312" width="36.7109375" style="2" customWidth="1"/>
    <col min="2313" max="2562" width="11.42578125" style="2"/>
    <col min="2563" max="2563" width="36.7109375" style="2" customWidth="1"/>
    <col min="2564" max="2564" width="12.7109375" style="2" customWidth="1"/>
    <col min="2565" max="2565" width="12.42578125" style="2" customWidth="1"/>
    <col min="2566" max="2566" width="10.7109375" style="2" customWidth="1"/>
    <col min="2567" max="2567" width="4.7109375" style="2" customWidth="1"/>
    <col min="2568" max="2568" width="36.7109375" style="2" customWidth="1"/>
    <col min="2569" max="2818" width="11.42578125" style="2"/>
    <col min="2819" max="2819" width="36.7109375" style="2" customWidth="1"/>
    <col min="2820" max="2820" width="12.7109375" style="2" customWidth="1"/>
    <col min="2821" max="2821" width="12.42578125" style="2" customWidth="1"/>
    <col min="2822" max="2822" width="10.7109375" style="2" customWidth="1"/>
    <col min="2823" max="2823" width="4.7109375" style="2" customWidth="1"/>
    <col min="2824" max="2824" width="36.7109375" style="2" customWidth="1"/>
    <col min="2825" max="3074" width="11.42578125" style="2"/>
    <col min="3075" max="3075" width="36.7109375" style="2" customWidth="1"/>
    <col min="3076" max="3076" width="12.7109375" style="2" customWidth="1"/>
    <col min="3077" max="3077" width="12.42578125" style="2" customWidth="1"/>
    <col min="3078" max="3078" width="10.7109375" style="2" customWidth="1"/>
    <col min="3079" max="3079" width="4.7109375" style="2" customWidth="1"/>
    <col min="3080" max="3080" width="36.7109375" style="2" customWidth="1"/>
    <col min="3081" max="3330" width="11.42578125" style="2"/>
    <col min="3331" max="3331" width="36.7109375" style="2" customWidth="1"/>
    <col min="3332" max="3332" width="12.7109375" style="2" customWidth="1"/>
    <col min="3333" max="3333" width="12.42578125" style="2" customWidth="1"/>
    <col min="3334" max="3334" width="10.7109375" style="2" customWidth="1"/>
    <col min="3335" max="3335" width="4.7109375" style="2" customWidth="1"/>
    <col min="3336" max="3336" width="36.7109375" style="2" customWidth="1"/>
    <col min="3337" max="3586" width="11.42578125" style="2"/>
    <col min="3587" max="3587" width="36.7109375" style="2" customWidth="1"/>
    <col min="3588" max="3588" width="12.7109375" style="2" customWidth="1"/>
    <col min="3589" max="3589" width="12.42578125" style="2" customWidth="1"/>
    <col min="3590" max="3590" width="10.7109375" style="2" customWidth="1"/>
    <col min="3591" max="3591" width="4.7109375" style="2" customWidth="1"/>
    <col min="3592" max="3592" width="36.7109375" style="2" customWidth="1"/>
    <col min="3593" max="3842" width="11.42578125" style="2"/>
    <col min="3843" max="3843" width="36.7109375" style="2" customWidth="1"/>
    <col min="3844" max="3844" width="12.7109375" style="2" customWidth="1"/>
    <col min="3845" max="3845" width="12.42578125" style="2" customWidth="1"/>
    <col min="3846" max="3846" width="10.7109375" style="2" customWidth="1"/>
    <col min="3847" max="3847" width="4.7109375" style="2" customWidth="1"/>
    <col min="3848" max="3848" width="36.7109375" style="2" customWidth="1"/>
    <col min="3849" max="4098" width="11.42578125" style="2"/>
    <col min="4099" max="4099" width="36.7109375" style="2" customWidth="1"/>
    <col min="4100" max="4100" width="12.7109375" style="2" customWidth="1"/>
    <col min="4101" max="4101" width="12.42578125" style="2" customWidth="1"/>
    <col min="4102" max="4102" width="10.7109375" style="2" customWidth="1"/>
    <col min="4103" max="4103" width="4.7109375" style="2" customWidth="1"/>
    <col min="4104" max="4104" width="36.7109375" style="2" customWidth="1"/>
    <col min="4105" max="4354" width="11.42578125" style="2"/>
    <col min="4355" max="4355" width="36.7109375" style="2" customWidth="1"/>
    <col min="4356" max="4356" width="12.7109375" style="2" customWidth="1"/>
    <col min="4357" max="4357" width="12.42578125" style="2" customWidth="1"/>
    <col min="4358" max="4358" width="10.7109375" style="2" customWidth="1"/>
    <col min="4359" max="4359" width="4.7109375" style="2" customWidth="1"/>
    <col min="4360" max="4360" width="36.7109375" style="2" customWidth="1"/>
    <col min="4361" max="4610" width="11.42578125" style="2"/>
    <col min="4611" max="4611" width="36.7109375" style="2" customWidth="1"/>
    <col min="4612" max="4612" width="12.7109375" style="2" customWidth="1"/>
    <col min="4613" max="4613" width="12.42578125" style="2" customWidth="1"/>
    <col min="4614" max="4614" width="10.7109375" style="2" customWidth="1"/>
    <col min="4615" max="4615" width="4.7109375" style="2" customWidth="1"/>
    <col min="4616" max="4616" width="36.7109375" style="2" customWidth="1"/>
    <col min="4617" max="4866" width="11.42578125" style="2"/>
    <col min="4867" max="4867" width="36.7109375" style="2" customWidth="1"/>
    <col min="4868" max="4868" width="12.7109375" style="2" customWidth="1"/>
    <col min="4869" max="4869" width="12.42578125" style="2" customWidth="1"/>
    <col min="4870" max="4870" width="10.7109375" style="2" customWidth="1"/>
    <col min="4871" max="4871" width="4.7109375" style="2" customWidth="1"/>
    <col min="4872" max="4872" width="36.7109375" style="2" customWidth="1"/>
    <col min="4873" max="5122" width="11.42578125" style="2"/>
    <col min="5123" max="5123" width="36.7109375" style="2" customWidth="1"/>
    <col min="5124" max="5124" width="12.7109375" style="2" customWidth="1"/>
    <col min="5125" max="5125" width="12.42578125" style="2" customWidth="1"/>
    <col min="5126" max="5126" width="10.7109375" style="2" customWidth="1"/>
    <col min="5127" max="5127" width="4.7109375" style="2" customWidth="1"/>
    <col min="5128" max="5128" width="36.7109375" style="2" customWidth="1"/>
    <col min="5129" max="5378" width="11.42578125" style="2"/>
    <col min="5379" max="5379" width="36.7109375" style="2" customWidth="1"/>
    <col min="5380" max="5380" width="12.7109375" style="2" customWidth="1"/>
    <col min="5381" max="5381" width="12.42578125" style="2" customWidth="1"/>
    <col min="5382" max="5382" width="10.7109375" style="2" customWidth="1"/>
    <col min="5383" max="5383" width="4.7109375" style="2" customWidth="1"/>
    <col min="5384" max="5384" width="36.7109375" style="2" customWidth="1"/>
    <col min="5385" max="5634" width="11.42578125" style="2"/>
    <col min="5635" max="5635" width="36.7109375" style="2" customWidth="1"/>
    <col min="5636" max="5636" width="12.7109375" style="2" customWidth="1"/>
    <col min="5637" max="5637" width="12.42578125" style="2" customWidth="1"/>
    <col min="5638" max="5638" width="10.7109375" style="2" customWidth="1"/>
    <col min="5639" max="5639" width="4.7109375" style="2" customWidth="1"/>
    <col min="5640" max="5640" width="36.7109375" style="2" customWidth="1"/>
    <col min="5641" max="5890" width="11.42578125" style="2"/>
    <col min="5891" max="5891" width="36.7109375" style="2" customWidth="1"/>
    <col min="5892" max="5892" width="12.7109375" style="2" customWidth="1"/>
    <col min="5893" max="5893" width="12.42578125" style="2" customWidth="1"/>
    <col min="5894" max="5894" width="10.7109375" style="2" customWidth="1"/>
    <col min="5895" max="5895" width="4.7109375" style="2" customWidth="1"/>
    <col min="5896" max="5896" width="36.7109375" style="2" customWidth="1"/>
    <col min="5897" max="6146" width="11.42578125" style="2"/>
    <col min="6147" max="6147" width="36.7109375" style="2" customWidth="1"/>
    <col min="6148" max="6148" width="12.7109375" style="2" customWidth="1"/>
    <col min="6149" max="6149" width="12.42578125" style="2" customWidth="1"/>
    <col min="6150" max="6150" width="10.7109375" style="2" customWidth="1"/>
    <col min="6151" max="6151" width="4.7109375" style="2" customWidth="1"/>
    <col min="6152" max="6152" width="36.7109375" style="2" customWidth="1"/>
    <col min="6153" max="6402" width="11.42578125" style="2"/>
    <col min="6403" max="6403" width="36.7109375" style="2" customWidth="1"/>
    <col min="6404" max="6404" width="12.7109375" style="2" customWidth="1"/>
    <col min="6405" max="6405" width="12.42578125" style="2" customWidth="1"/>
    <col min="6406" max="6406" width="10.7109375" style="2" customWidth="1"/>
    <col min="6407" max="6407" width="4.7109375" style="2" customWidth="1"/>
    <col min="6408" max="6408" width="36.7109375" style="2" customWidth="1"/>
    <col min="6409" max="6658" width="11.42578125" style="2"/>
    <col min="6659" max="6659" width="36.7109375" style="2" customWidth="1"/>
    <col min="6660" max="6660" width="12.7109375" style="2" customWidth="1"/>
    <col min="6661" max="6661" width="12.42578125" style="2" customWidth="1"/>
    <col min="6662" max="6662" width="10.7109375" style="2" customWidth="1"/>
    <col min="6663" max="6663" width="4.7109375" style="2" customWidth="1"/>
    <col min="6664" max="6664" width="36.7109375" style="2" customWidth="1"/>
    <col min="6665" max="6914" width="11.42578125" style="2"/>
    <col min="6915" max="6915" width="36.7109375" style="2" customWidth="1"/>
    <col min="6916" max="6916" width="12.7109375" style="2" customWidth="1"/>
    <col min="6917" max="6917" width="12.42578125" style="2" customWidth="1"/>
    <col min="6918" max="6918" width="10.7109375" style="2" customWidth="1"/>
    <col min="6919" max="6919" width="4.7109375" style="2" customWidth="1"/>
    <col min="6920" max="6920" width="36.7109375" style="2" customWidth="1"/>
    <col min="6921" max="7170" width="11.42578125" style="2"/>
    <col min="7171" max="7171" width="36.7109375" style="2" customWidth="1"/>
    <col min="7172" max="7172" width="12.7109375" style="2" customWidth="1"/>
    <col min="7173" max="7173" width="12.42578125" style="2" customWidth="1"/>
    <col min="7174" max="7174" width="10.7109375" style="2" customWidth="1"/>
    <col min="7175" max="7175" width="4.7109375" style="2" customWidth="1"/>
    <col min="7176" max="7176" width="36.7109375" style="2" customWidth="1"/>
    <col min="7177" max="7426" width="11.42578125" style="2"/>
    <col min="7427" max="7427" width="36.7109375" style="2" customWidth="1"/>
    <col min="7428" max="7428" width="12.7109375" style="2" customWidth="1"/>
    <col min="7429" max="7429" width="12.42578125" style="2" customWidth="1"/>
    <col min="7430" max="7430" width="10.7109375" style="2" customWidth="1"/>
    <col min="7431" max="7431" width="4.7109375" style="2" customWidth="1"/>
    <col min="7432" max="7432" width="36.7109375" style="2" customWidth="1"/>
    <col min="7433" max="7682" width="11.42578125" style="2"/>
    <col min="7683" max="7683" width="36.7109375" style="2" customWidth="1"/>
    <col min="7684" max="7684" width="12.7109375" style="2" customWidth="1"/>
    <col min="7685" max="7685" width="12.42578125" style="2" customWidth="1"/>
    <col min="7686" max="7686" width="10.7109375" style="2" customWidth="1"/>
    <col min="7687" max="7687" width="4.7109375" style="2" customWidth="1"/>
    <col min="7688" max="7688" width="36.7109375" style="2" customWidth="1"/>
    <col min="7689" max="7938" width="11.42578125" style="2"/>
    <col min="7939" max="7939" width="36.7109375" style="2" customWidth="1"/>
    <col min="7940" max="7940" width="12.7109375" style="2" customWidth="1"/>
    <col min="7941" max="7941" width="12.42578125" style="2" customWidth="1"/>
    <col min="7942" max="7942" width="10.7109375" style="2" customWidth="1"/>
    <col min="7943" max="7943" width="4.7109375" style="2" customWidth="1"/>
    <col min="7944" max="7944" width="36.7109375" style="2" customWidth="1"/>
    <col min="7945" max="8194" width="11.42578125" style="2"/>
    <col min="8195" max="8195" width="36.7109375" style="2" customWidth="1"/>
    <col min="8196" max="8196" width="12.7109375" style="2" customWidth="1"/>
    <col min="8197" max="8197" width="12.42578125" style="2" customWidth="1"/>
    <col min="8198" max="8198" width="10.7109375" style="2" customWidth="1"/>
    <col min="8199" max="8199" width="4.7109375" style="2" customWidth="1"/>
    <col min="8200" max="8200" width="36.7109375" style="2" customWidth="1"/>
    <col min="8201" max="8450" width="11.42578125" style="2"/>
    <col min="8451" max="8451" width="36.7109375" style="2" customWidth="1"/>
    <col min="8452" max="8452" width="12.7109375" style="2" customWidth="1"/>
    <col min="8453" max="8453" width="12.42578125" style="2" customWidth="1"/>
    <col min="8454" max="8454" width="10.7109375" style="2" customWidth="1"/>
    <col min="8455" max="8455" width="4.7109375" style="2" customWidth="1"/>
    <col min="8456" max="8456" width="36.7109375" style="2" customWidth="1"/>
    <col min="8457" max="8706" width="11.42578125" style="2"/>
    <col min="8707" max="8707" width="36.7109375" style="2" customWidth="1"/>
    <col min="8708" max="8708" width="12.7109375" style="2" customWidth="1"/>
    <col min="8709" max="8709" width="12.42578125" style="2" customWidth="1"/>
    <col min="8710" max="8710" width="10.7109375" style="2" customWidth="1"/>
    <col min="8711" max="8711" width="4.7109375" style="2" customWidth="1"/>
    <col min="8712" max="8712" width="36.7109375" style="2" customWidth="1"/>
    <col min="8713" max="8962" width="11.42578125" style="2"/>
    <col min="8963" max="8963" width="36.7109375" style="2" customWidth="1"/>
    <col min="8964" max="8964" width="12.7109375" style="2" customWidth="1"/>
    <col min="8965" max="8965" width="12.42578125" style="2" customWidth="1"/>
    <col min="8966" max="8966" width="10.7109375" style="2" customWidth="1"/>
    <col min="8967" max="8967" width="4.7109375" style="2" customWidth="1"/>
    <col min="8968" max="8968" width="36.7109375" style="2" customWidth="1"/>
    <col min="8969" max="9218" width="11.42578125" style="2"/>
    <col min="9219" max="9219" width="36.7109375" style="2" customWidth="1"/>
    <col min="9220" max="9220" width="12.7109375" style="2" customWidth="1"/>
    <col min="9221" max="9221" width="12.42578125" style="2" customWidth="1"/>
    <col min="9222" max="9222" width="10.7109375" style="2" customWidth="1"/>
    <col min="9223" max="9223" width="4.7109375" style="2" customWidth="1"/>
    <col min="9224" max="9224" width="36.7109375" style="2" customWidth="1"/>
    <col min="9225" max="9474" width="11.42578125" style="2"/>
    <col min="9475" max="9475" width="36.7109375" style="2" customWidth="1"/>
    <col min="9476" max="9476" width="12.7109375" style="2" customWidth="1"/>
    <col min="9477" max="9477" width="12.42578125" style="2" customWidth="1"/>
    <col min="9478" max="9478" width="10.7109375" style="2" customWidth="1"/>
    <col min="9479" max="9479" width="4.7109375" style="2" customWidth="1"/>
    <col min="9480" max="9480" width="36.7109375" style="2" customWidth="1"/>
    <col min="9481" max="9730" width="11.42578125" style="2"/>
    <col min="9731" max="9731" width="36.7109375" style="2" customWidth="1"/>
    <col min="9732" max="9732" width="12.7109375" style="2" customWidth="1"/>
    <col min="9733" max="9733" width="12.42578125" style="2" customWidth="1"/>
    <col min="9734" max="9734" width="10.7109375" style="2" customWidth="1"/>
    <col min="9735" max="9735" width="4.7109375" style="2" customWidth="1"/>
    <col min="9736" max="9736" width="36.7109375" style="2" customWidth="1"/>
    <col min="9737" max="9986" width="11.42578125" style="2"/>
    <col min="9987" max="9987" width="36.7109375" style="2" customWidth="1"/>
    <col min="9988" max="9988" width="12.7109375" style="2" customWidth="1"/>
    <col min="9989" max="9989" width="12.42578125" style="2" customWidth="1"/>
    <col min="9990" max="9990" width="10.7109375" style="2" customWidth="1"/>
    <col min="9991" max="9991" width="4.7109375" style="2" customWidth="1"/>
    <col min="9992" max="9992" width="36.7109375" style="2" customWidth="1"/>
    <col min="9993" max="10242" width="11.42578125" style="2"/>
    <col min="10243" max="10243" width="36.7109375" style="2" customWidth="1"/>
    <col min="10244" max="10244" width="12.7109375" style="2" customWidth="1"/>
    <col min="10245" max="10245" width="12.42578125" style="2" customWidth="1"/>
    <col min="10246" max="10246" width="10.7109375" style="2" customWidth="1"/>
    <col min="10247" max="10247" width="4.7109375" style="2" customWidth="1"/>
    <col min="10248" max="10248" width="36.7109375" style="2" customWidth="1"/>
    <col min="10249" max="10498" width="11.42578125" style="2"/>
    <col min="10499" max="10499" width="36.7109375" style="2" customWidth="1"/>
    <col min="10500" max="10500" width="12.7109375" style="2" customWidth="1"/>
    <col min="10501" max="10501" width="12.42578125" style="2" customWidth="1"/>
    <col min="10502" max="10502" width="10.7109375" style="2" customWidth="1"/>
    <col min="10503" max="10503" width="4.7109375" style="2" customWidth="1"/>
    <col min="10504" max="10504" width="36.7109375" style="2" customWidth="1"/>
    <col min="10505" max="10754" width="11.42578125" style="2"/>
    <col min="10755" max="10755" width="36.7109375" style="2" customWidth="1"/>
    <col min="10756" max="10756" width="12.7109375" style="2" customWidth="1"/>
    <col min="10757" max="10757" width="12.42578125" style="2" customWidth="1"/>
    <col min="10758" max="10758" width="10.7109375" style="2" customWidth="1"/>
    <col min="10759" max="10759" width="4.7109375" style="2" customWidth="1"/>
    <col min="10760" max="10760" width="36.7109375" style="2" customWidth="1"/>
    <col min="10761" max="11010" width="11.42578125" style="2"/>
    <col min="11011" max="11011" width="36.7109375" style="2" customWidth="1"/>
    <col min="11012" max="11012" width="12.7109375" style="2" customWidth="1"/>
    <col min="11013" max="11013" width="12.42578125" style="2" customWidth="1"/>
    <col min="11014" max="11014" width="10.7109375" style="2" customWidth="1"/>
    <col min="11015" max="11015" width="4.7109375" style="2" customWidth="1"/>
    <col min="11016" max="11016" width="36.7109375" style="2" customWidth="1"/>
    <col min="11017" max="11266" width="11.42578125" style="2"/>
    <col min="11267" max="11267" width="36.7109375" style="2" customWidth="1"/>
    <col min="11268" max="11268" width="12.7109375" style="2" customWidth="1"/>
    <col min="11269" max="11269" width="12.42578125" style="2" customWidth="1"/>
    <col min="11270" max="11270" width="10.7109375" style="2" customWidth="1"/>
    <col min="11271" max="11271" width="4.7109375" style="2" customWidth="1"/>
    <col min="11272" max="11272" width="36.7109375" style="2" customWidth="1"/>
    <col min="11273" max="11522" width="11.42578125" style="2"/>
    <col min="11523" max="11523" width="36.7109375" style="2" customWidth="1"/>
    <col min="11524" max="11524" width="12.7109375" style="2" customWidth="1"/>
    <col min="11525" max="11525" width="12.42578125" style="2" customWidth="1"/>
    <col min="11526" max="11526" width="10.7109375" style="2" customWidth="1"/>
    <col min="11527" max="11527" width="4.7109375" style="2" customWidth="1"/>
    <col min="11528" max="11528" width="36.7109375" style="2" customWidth="1"/>
    <col min="11529" max="11778" width="11.42578125" style="2"/>
    <col min="11779" max="11779" width="36.7109375" style="2" customWidth="1"/>
    <col min="11780" max="11780" width="12.7109375" style="2" customWidth="1"/>
    <col min="11781" max="11781" width="12.42578125" style="2" customWidth="1"/>
    <col min="11782" max="11782" width="10.7109375" style="2" customWidth="1"/>
    <col min="11783" max="11783" width="4.7109375" style="2" customWidth="1"/>
    <col min="11784" max="11784" width="36.7109375" style="2" customWidth="1"/>
    <col min="11785" max="12034" width="11.42578125" style="2"/>
    <col min="12035" max="12035" width="36.7109375" style="2" customWidth="1"/>
    <col min="12036" max="12036" width="12.7109375" style="2" customWidth="1"/>
    <col min="12037" max="12037" width="12.42578125" style="2" customWidth="1"/>
    <col min="12038" max="12038" width="10.7109375" style="2" customWidth="1"/>
    <col min="12039" max="12039" width="4.7109375" style="2" customWidth="1"/>
    <col min="12040" max="12040" width="36.7109375" style="2" customWidth="1"/>
    <col min="12041" max="12290" width="11.42578125" style="2"/>
    <col min="12291" max="12291" width="36.7109375" style="2" customWidth="1"/>
    <col min="12292" max="12292" width="12.7109375" style="2" customWidth="1"/>
    <col min="12293" max="12293" width="12.42578125" style="2" customWidth="1"/>
    <col min="12294" max="12294" width="10.7109375" style="2" customWidth="1"/>
    <col min="12295" max="12295" width="4.7109375" style="2" customWidth="1"/>
    <col min="12296" max="12296" width="36.7109375" style="2" customWidth="1"/>
    <col min="12297" max="12546" width="11.42578125" style="2"/>
    <col min="12547" max="12547" width="36.7109375" style="2" customWidth="1"/>
    <col min="12548" max="12548" width="12.7109375" style="2" customWidth="1"/>
    <col min="12549" max="12549" width="12.42578125" style="2" customWidth="1"/>
    <col min="12550" max="12550" width="10.7109375" style="2" customWidth="1"/>
    <col min="12551" max="12551" width="4.7109375" style="2" customWidth="1"/>
    <col min="12552" max="12552" width="36.7109375" style="2" customWidth="1"/>
    <col min="12553" max="12802" width="11.42578125" style="2"/>
    <col min="12803" max="12803" width="36.7109375" style="2" customWidth="1"/>
    <col min="12804" max="12804" width="12.7109375" style="2" customWidth="1"/>
    <col min="12805" max="12805" width="12.42578125" style="2" customWidth="1"/>
    <col min="12806" max="12806" width="10.7109375" style="2" customWidth="1"/>
    <col min="12807" max="12807" width="4.7109375" style="2" customWidth="1"/>
    <col min="12808" max="12808" width="36.7109375" style="2" customWidth="1"/>
    <col min="12809" max="13058" width="11.42578125" style="2"/>
    <col min="13059" max="13059" width="36.7109375" style="2" customWidth="1"/>
    <col min="13060" max="13060" width="12.7109375" style="2" customWidth="1"/>
    <col min="13061" max="13061" width="12.42578125" style="2" customWidth="1"/>
    <col min="13062" max="13062" width="10.7109375" style="2" customWidth="1"/>
    <col min="13063" max="13063" width="4.7109375" style="2" customWidth="1"/>
    <col min="13064" max="13064" width="36.7109375" style="2" customWidth="1"/>
    <col min="13065" max="13314" width="11.42578125" style="2"/>
    <col min="13315" max="13315" width="36.7109375" style="2" customWidth="1"/>
    <col min="13316" max="13316" width="12.7109375" style="2" customWidth="1"/>
    <col min="13317" max="13317" width="12.42578125" style="2" customWidth="1"/>
    <col min="13318" max="13318" width="10.7109375" style="2" customWidth="1"/>
    <col min="13319" max="13319" width="4.7109375" style="2" customWidth="1"/>
    <col min="13320" max="13320" width="36.7109375" style="2" customWidth="1"/>
    <col min="13321" max="13570" width="11.42578125" style="2"/>
    <col min="13571" max="13571" width="36.7109375" style="2" customWidth="1"/>
    <col min="13572" max="13572" width="12.7109375" style="2" customWidth="1"/>
    <col min="13573" max="13573" width="12.42578125" style="2" customWidth="1"/>
    <col min="13574" max="13574" width="10.7109375" style="2" customWidth="1"/>
    <col min="13575" max="13575" width="4.7109375" style="2" customWidth="1"/>
    <col min="13576" max="13576" width="36.7109375" style="2" customWidth="1"/>
    <col min="13577" max="13826" width="11.42578125" style="2"/>
    <col min="13827" max="13827" width="36.7109375" style="2" customWidth="1"/>
    <col min="13828" max="13828" width="12.7109375" style="2" customWidth="1"/>
    <col min="13829" max="13829" width="12.42578125" style="2" customWidth="1"/>
    <col min="13830" max="13830" width="10.7109375" style="2" customWidth="1"/>
    <col min="13831" max="13831" width="4.7109375" style="2" customWidth="1"/>
    <col min="13832" max="13832" width="36.7109375" style="2" customWidth="1"/>
    <col min="13833" max="14082" width="11.42578125" style="2"/>
    <col min="14083" max="14083" width="36.7109375" style="2" customWidth="1"/>
    <col min="14084" max="14084" width="12.7109375" style="2" customWidth="1"/>
    <col min="14085" max="14085" width="12.42578125" style="2" customWidth="1"/>
    <col min="14086" max="14086" width="10.7109375" style="2" customWidth="1"/>
    <col min="14087" max="14087" width="4.7109375" style="2" customWidth="1"/>
    <col min="14088" max="14088" width="36.7109375" style="2" customWidth="1"/>
    <col min="14089" max="14338" width="11.42578125" style="2"/>
    <col min="14339" max="14339" width="36.7109375" style="2" customWidth="1"/>
    <col min="14340" max="14340" width="12.7109375" style="2" customWidth="1"/>
    <col min="14341" max="14341" width="12.42578125" style="2" customWidth="1"/>
    <col min="14342" max="14342" width="10.7109375" style="2" customWidth="1"/>
    <col min="14343" max="14343" width="4.7109375" style="2" customWidth="1"/>
    <col min="14344" max="14344" width="36.7109375" style="2" customWidth="1"/>
    <col min="14345" max="14594" width="11.42578125" style="2"/>
    <col min="14595" max="14595" width="36.7109375" style="2" customWidth="1"/>
    <col min="14596" max="14596" width="12.7109375" style="2" customWidth="1"/>
    <col min="14597" max="14597" width="12.42578125" style="2" customWidth="1"/>
    <col min="14598" max="14598" width="10.7109375" style="2" customWidth="1"/>
    <col min="14599" max="14599" width="4.7109375" style="2" customWidth="1"/>
    <col min="14600" max="14600" width="36.7109375" style="2" customWidth="1"/>
    <col min="14601" max="14850" width="11.42578125" style="2"/>
    <col min="14851" max="14851" width="36.7109375" style="2" customWidth="1"/>
    <col min="14852" max="14852" width="12.7109375" style="2" customWidth="1"/>
    <col min="14853" max="14853" width="12.42578125" style="2" customWidth="1"/>
    <col min="14854" max="14854" width="10.7109375" style="2" customWidth="1"/>
    <col min="14855" max="14855" width="4.7109375" style="2" customWidth="1"/>
    <col min="14856" max="14856" width="36.7109375" style="2" customWidth="1"/>
    <col min="14857" max="15106" width="11.42578125" style="2"/>
    <col min="15107" max="15107" width="36.7109375" style="2" customWidth="1"/>
    <col min="15108" max="15108" width="12.7109375" style="2" customWidth="1"/>
    <col min="15109" max="15109" width="12.42578125" style="2" customWidth="1"/>
    <col min="15110" max="15110" width="10.7109375" style="2" customWidth="1"/>
    <col min="15111" max="15111" width="4.7109375" style="2" customWidth="1"/>
    <col min="15112" max="15112" width="36.7109375" style="2" customWidth="1"/>
    <col min="15113" max="15362" width="11.42578125" style="2"/>
    <col min="15363" max="15363" width="36.7109375" style="2" customWidth="1"/>
    <col min="15364" max="15364" width="12.7109375" style="2" customWidth="1"/>
    <col min="15365" max="15365" width="12.42578125" style="2" customWidth="1"/>
    <col min="15366" max="15366" width="10.7109375" style="2" customWidth="1"/>
    <col min="15367" max="15367" width="4.7109375" style="2" customWidth="1"/>
    <col min="15368" max="15368" width="36.7109375" style="2" customWidth="1"/>
    <col min="15369" max="15618" width="11.42578125" style="2"/>
    <col min="15619" max="15619" width="36.7109375" style="2" customWidth="1"/>
    <col min="15620" max="15620" width="12.7109375" style="2" customWidth="1"/>
    <col min="15621" max="15621" width="12.42578125" style="2" customWidth="1"/>
    <col min="15622" max="15622" width="10.7109375" style="2" customWidth="1"/>
    <col min="15623" max="15623" width="4.7109375" style="2" customWidth="1"/>
    <col min="15624" max="15624" width="36.7109375" style="2" customWidth="1"/>
    <col min="15625" max="15874" width="11.42578125" style="2"/>
    <col min="15875" max="15875" width="36.7109375" style="2" customWidth="1"/>
    <col min="15876" max="15876" width="12.7109375" style="2" customWidth="1"/>
    <col min="15877" max="15877" width="12.42578125" style="2" customWidth="1"/>
    <col min="15878" max="15878" width="10.7109375" style="2" customWidth="1"/>
    <col min="15879" max="15879" width="4.7109375" style="2" customWidth="1"/>
    <col min="15880" max="15880" width="36.7109375" style="2" customWidth="1"/>
    <col min="15881" max="16130" width="11.42578125" style="2"/>
    <col min="16131" max="16131" width="36.7109375" style="2" customWidth="1"/>
    <col min="16132" max="16132" width="12.7109375" style="2" customWidth="1"/>
    <col min="16133" max="16133" width="12.42578125" style="2" customWidth="1"/>
    <col min="16134" max="16134" width="10.7109375" style="2" customWidth="1"/>
    <col min="16135" max="16135" width="4.7109375" style="2" customWidth="1"/>
    <col min="16136" max="16136" width="36.7109375" style="2" customWidth="1"/>
    <col min="16137" max="16384" width="11.42578125" style="2"/>
  </cols>
  <sheetData>
    <row r="4" spans="3:10" ht="33.75" customHeight="1">
      <c r="C4" s="220" t="s">
        <v>182</v>
      </c>
      <c r="D4" s="221"/>
      <c r="E4" s="221"/>
      <c r="F4" s="221"/>
      <c r="G4" s="221"/>
    </row>
    <row r="5" spans="3:10" ht="33.75">
      <c r="C5" s="222" t="s">
        <v>158</v>
      </c>
      <c r="D5" s="223" t="str">
        <f>actualizaciones!A3</f>
        <v>acumulado julio 2009</v>
      </c>
      <c r="E5" s="223" t="str">
        <f>actualizaciones!A2</f>
        <v xml:space="preserve">acumulado julio 2010 </v>
      </c>
      <c r="F5" s="224" t="s">
        <v>28</v>
      </c>
      <c r="G5" s="224" t="s">
        <v>183</v>
      </c>
    </row>
    <row r="6" spans="3:10">
      <c r="C6" s="225" t="s">
        <v>159</v>
      </c>
      <c r="D6" s="226">
        <f>GETPIVOTDATA("dato",'[1]tabla dinámica nacionalidades'!$A$5,"indicador","España","año",2009)</f>
        <v>193027</v>
      </c>
      <c r="E6" s="226">
        <f>GETPIVOTDATA("dato",'[1]tabla dinámica nacionalidades'!$A$5,"indicador","España","año",2010)</f>
        <v>217518</v>
      </c>
      <c r="F6" s="227">
        <f t="shared" ref="F6:F28" si="0">(E6-D6)/D6</f>
        <v>0.12687862319779097</v>
      </c>
      <c r="G6" s="227">
        <f>E6/$E$28</f>
        <v>0.222255827474269</v>
      </c>
      <c r="I6" s="228"/>
      <c r="J6" s="228"/>
    </row>
    <row r="7" spans="3:10">
      <c r="C7" s="37" t="s">
        <v>161</v>
      </c>
      <c r="D7" s="38">
        <f>GETPIVOTDATA("dato",'[1]tabla dinámica nacionalidades'!$A$5,"indicador","HOLANDA","año",2009)</f>
        <v>35706</v>
      </c>
      <c r="E7" s="38">
        <f>GETPIVOTDATA("dato",'[1]tabla dinámica nacionalidades'!$A$5,"indicador","HOLANDA","año",2010)</f>
        <v>33893</v>
      </c>
      <c r="F7" s="40">
        <f t="shared" si="0"/>
        <v>-5.0775779980955581E-2</v>
      </c>
      <c r="G7" s="40">
        <f t="shared" ref="G7:G28" si="1">E7/$E$28</f>
        <v>3.4631234015508598E-2</v>
      </c>
      <c r="I7" s="228"/>
      <c r="J7" s="228"/>
    </row>
    <row r="8" spans="3:10">
      <c r="C8" s="37" t="s">
        <v>162</v>
      </c>
      <c r="D8" s="38">
        <f>GETPIVOTDATA("dato",'[1]tabla dinámica nacionalidades'!$A$5,"indicador","BÉLGICA","año",2009)</f>
        <v>34683</v>
      </c>
      <c r="E8" s="38">
        <f>GETPIVOTDATA("dato",'[1]tabla dinámica nacionalidades'!$A$5,"indicador","BÉLGICA","año",2010)</f>
        <v>38165</v>
      </c>
      <c r="F8" s="40">
        <f t="shared" si="0"/>
        <v>0.10039500619900239</v>
      </c>
      <c r="G8" s="40">
        <f t="shared" si="1"/>
        <v>3.8996283781367408E-2</v>
      </c>
      <c r="I8" s="228"/>
      <c r="J8" s="228"/>
    </row>
    <row r="9" spans="3:10">
      <c r="C9" s="37" t="s">
        <v>163</v>
      </c>
      <c r="D9" s="38">
        <f>GETPIVOTDATA("dato",'[1]tabla dinámica nacionalidades'!$A$5,"indicador","ALEMANIA","año",2009)</f>
        <v>125482</v>
      </c>
      <c r="E9" s="38">
        <f>GETPIVOTDATA("dato",'[1]tabla dinámica nacionalidades'!$A$5,"indicador","ALEMANIA","año",2010)</f>
        <v>132424</v>
      </c>
      <c r="F9" s="40">
        <f t="shared" si="0"/>
        <v>5.5322675762260722E-2</v>
      </c>
      <c r="G9" s="40">
        <f t="shared" si="1"/>
        <v>0.13530836849112532</v>
      </c>
      <c r="I9" s="228"/>
      <c r="J9" s="228"/>
    </row>
    <row r="10" spans="3:10">
      <c r="C10" s="229" t="s">
        <v>164</v>
      </c>
      <c r="D10" s="38">
        <f>GETPIVOTDATA("dato",'[1]tabla dinámica nacionalidades'!$A$5,"indicador","FRANCIA","año",2009)</f>
        <v>24786</v>
      </c>
      <c r="E10" s="38">
        <f>GETPIVOTDATA("dato",'[1]tabla dinámica nacionalidades'!$A$5,"indicador","FRANCIA","año",2010)</f>
        <v>24738</v>
      </c>
      <c r="F10" s="40">
        <f t="shared" si="0"/>
        <v>-1.9365770999757927E-3</v>
      </c>
      <c r="G10" s="40">
        <f t="shared" si="1"/>
        <v>2.5276826102016689E-2</v>
      </c>
      <c r="I10" s="228"/>
      <c r="J10" s="228"/>
    </row>
    <row r="11" spans="3:10">
      <c r="C11" s="229" t="s">
        <v>165</v>
      </c>
      <c r="D11" s="38">
        <f>GETPIVOTDATA("dato",'[1]tabla dinámica nacionalidades'!$A$5,"indicador","REINO UNIDO","año",2009)</f>
        <v>316141</v>
      </c>
      <c r="E11" s="38">
        <f>GETPIVOTDATA("dato",'[1]tabla dinámica nacionalidades'!$A$5,"indicador","REINO UNIDO","año",2010)</f>
        <v>325181</v>
      </c>
      <c r="F11" s="40">
        <f t="shared" si="0"/>
        <v>2.8594835848561245E-2</v>
      </c>
      <c r="G11" s="40">
        <f t="shared" si="1"/>
        <v>0.33226386889319626</v>
      </c>
      <c r="I11" s="228"/>
      <c r="J11" s="228"/>
    </row>
    <row r="12" spans="3:10">
      <c r="C12" s="229" t="s">
        <v>166</v>
      </c>
      <c r="D12" s="38">
        <f>GETPIVOTDATA("dato",'[1]tabla dinámica nacionalidades'!$A$5,"indicador","IRLANDA","año",2009)</f>
        <v>21704</v>
      </c>
      <c r="E12" s="38">
        <f>GETPIVOTDATA("dato",'[1]tabla dinámica nacionalidades'!$A$5,"indicador","IRLANDA","año",2010)</f>
        <v>15663</v>
      </c>
      <c r="F12" s="40">
        <f t="shared" si="0"/>
        <v>-0.2783357906376705</v>
      </c>
      <c r="G12" s="40">
        <f t="shared" si="1"/>
        <v>1.6004160693503411E-2</v>
      </c>
      <c r="I12" s="228"/>
      <c r="J12" s="228"/>
    </row>
    <row r="13" spans="3:10">
      <c r="C13" s="229" t="s">
        <v>167</v>
      </c>
      <c r="D13" s="38">
        <f>GETPIVOTDATA("dato",'[1]tabla dinámica nacionalidades'!$A$5,"indicador","ITALIA","año",2009)</f>
        <v>22491</v>
      </c>
      <c r="E13" s="38">
        <f>GETPIVOTDATA("dato",'[1]tabla dinámica nacionalidades'!$A$5,"indicador","ITALIA","año",2010)</f>
        <v>23620</v>
      </c>
      <c r="F13" s="40">
        <f t="shared" si="0"/>
        <v>5.0197856920546E-2</v>
      </c>
      <c r="G13" s="40">
        <f t="shared" si="1"/>
        <v>2.4134474594940343E-2</v>
      </c>
      <c r="I13" s="228"/>
      <c r="J13" s="228"/>
    </row>
    <row r="14" spans="3:10">
      <c r="C14" s="37" t="s">
        <v>168</v>
      </c>
      <c r="D14" s="38">
        <f>D15+D16+D18</f>
        <v>50622</v>
      </c>
      <c r="E14" s="38">
        <f>E15+E16+E18</f>
        <v>45776</v>
      </c>
      <c r="F14" s="40">
        <f>(E14-D14)/D14</f>
        <v>-9.5729129627434711E-2</v>
      </c>
      <c r="G14" s="40">
        <f t="shared" si="1"/>
        <v>4.6773061348771766E-2</v>
      </c>
      <c r="I14" s="228"/>
      <c r="J14" s="228"/>
    </row>
    <row r="15" spans="3:10">
      <c r="C15" s="230" t="s">
        <v>169</v>
      </c>
      <c r="D15" s="38">
        <f>GETPIVOTDATA("dato",'[1]tabla dinámica nacionalidades'!$A$5,"indicador","SUECIA","año",2009)</f>
        <v>24799</v>
      </c>
      <c r="E15" s="38">
        <f>GETPIVOTDATA("dato",'[1]tabla dinámica nacionalidades'!$A$5,"indicador","SUECIA","año",2010)</f>
        <v>21624</v>
      </c>
      <c r="F15" s="40">
        <f t="shared" si="0"/>
        <v>-0.12802935602242027</v>
      </c>
      <c r="G15" s="40">
        <f t="shared" si="1"/>
        <v>2.2094999095723537E-2</v>
      </c>
      <c r="I15" s="228"/>
      <c r="J15" s="228"/>
    </row>
    <row r="16" spans="3:10">
      <c r="C16" s="230" t="s">
        <v>170</v>
      </c>
      <c r="D16" s="38">
        <f>GETPIVOTDATA("dato",'[1]tabla dinámica nacionalidades'!$A$5,"indicador","NORUEGA","año",2009)</f>
        <v>13673</v>
      </c>
      <c r="E16" s="38">
        <f>GETPIVOTDATA("dato",'[1]tabla dinámica nacionalidades'!$A$5,"indicador","NORUEGA","año",2010)</f>
        <v>11874</v>
      </c>
      <c r="F16" s="40">
        <f t="shared" si="0"/>
        <v>-0.13157317340744534</v>
      </c>
      <c r="G16" s="40">
        <f t="shared" si="1"/>
        <v>1.2132631301453076E-2</v>
      </c>
      <c r="I16" s="228"/>
      <c r="J16" s="228"/>
    </row>
    <row r="17" spans="2:12">
      <c r="C17" s="230" t="s">
        <v>171</v>
      </c>
      <c r="D17" s="38">
        <f>GETPIVOTDATA("dato",'[1]tabla dinámica nacionalidades'!$A$5,"indicador","DINAMARCA","año",2009)</f>
        <v>23697</v>
      </c>
      <c r="E17" s="38">
        <f>GETPIVOTDATA("dato",'[1]tabla dinámica nacionalidades'!$A$5,"indicador","DINAMARCA","año",2010)</f>
        <v>17803</v>
      </c>
      <c r="F17" s="40">
        <f t="shared" si="0"/>
        <v>-0.24872346710554077</v>
      </c>
      <c r="G17" s="40">
        <f t="shared" si="1"/>
        <v>1.8190772701681748E-2</v>
      </c>
      <c r="I17" s="228"/>
      <c r="J17" s="228"/>
    </row>
    <row r="18" spans="2:12">
      <c r="C18" s="230" t="s">
        <v>172</v>
      </c>
      <c r="D18" s="38">
        <f>GETPIVOTDATA("dato",'[1]tabla dinámica nacionalidades'!$A$5,"indicador","FINLANDIA","año",2009)</f>
        <v>12150</v>
      </c>
      <c r="E18" s="38">
        <f>GETPIVOTDATA("dato",'[1]tabla dinámica nacionalidades'!$A$5,"indicador","FINLANDIA","año",2010)</f>
        <v>12278</v>
      </c>
      <c r="F18" s="40">
        <f t="shared" si="0"/>
        <v>1.0534979423868314E-2</v>
      </c>
      <c r="G18" s="40">
        <f t="shared" si="1"/>
        <v>1.2545430951595153E-2</v>
      </c>
      <c r="I18" s="228"/>
      <c r="J18" s="228"/>
    </row>
    <row r="19" spans="2:12">
      <c r="C19" s="37" t="s">
        <v>173</v>
      </c>
      <c r="D19" s="38">
        <f>GETPIVOTDATA("dato",'[1]tabla dinámica nacionalidades'!$A$5,"indicador","SUIZA","año",2009)</f>
        <v>7389</v>
      </c>
      <c r="E19" s="38">
        <f>GETPIVOTDATA("dato",'[1]tabla dinámica nacionalidades'!$A$5,"indicador","SUIZA","año",2010)</f>
        <v>7338</v>
      </c>
      <c r="F19" s="40">
        <f t="shared" si="0"/>
        <v>-6.9021518473406417E-3</v>
      </c>
      <c r="G19" s="40">
        <f t="shared" si="1"/>
        <v>7.4978312691647859E-3</v>
      </c>
      <c r="I19" s="228"/>
      <c r="J19" s="228"/>
    </row>
    <row r="20" spans="2:12">
      <c r="C20" s="37" t="s">
        <v>174</v>
      </c>
      <c r="D20" s="38">
        <f>GETPIVOTDATA("dato",'[1]tabla dinámica nacionalidades'!$A$5,"indicador","AUSTRIA","año",2009)</f>
        <v>6235</v>
      </c>
      <c r="E20" s="38">
        <f>GETPIVOTDATA("dato",'[1]tabla dinámica nacionalidades'!$A$5,"indicador","AUSTRIA","año",2010)</f>
        <v>8031</v>
      </c>
      <c r="F20" s="40">
        <f t="shared" si="0"/>
        <v>0.28805132317562149</v>
      </c>
      <c r="G20" s="40">
        <f t="shared" si="1"/>
        <v>8.2059257185421626E-3</v>
      </c>
      <c r="I20" s="228"/>
      <c r="J20" s="228"/>
    </row>
    <row r="21" spans="2:12">
      <c r="C21" s="37" t="s">
        <v>175</v>
      </c>
      <c r="D21" s="38">
        <f>GETPIVOTDATA("dato",'[1]tabla dinámica nacionalidades'!$A$5,"indicador","RUSIA","año",2009)</f>
        <v>23824</v>
      </c>
      <c r="E21" s="38">
        <f>GETPIVOTDATA("dato",'[1]tabla dinámica nacionalidades'!$A$5,"indicador","RUSIA","año",2010)</f>
        <v>27631</v>
      </c>
      <c r="F21" s="40">
        <f t="shared" si="0"/>
        <v>0.15979684351914036</v>
      </c>
      <c r="G21" s="40">
        <f t="shared" si="1"/>
        <v>2.8232839438306376E-2</v>
      </c>
      <c r="I21" s="228"/>
      <c r="J21" s="228"/>
    </row>
    <row r="22" spans="2:12">
      <c r="C22" s="231" t="s">
        <v>176</v>
      </c>
      <c r="D22" s="38">
        <f>GETPIVOTDATA("dato",'[1]tabla dinámica nacionalidades'!$A$5,"indicador","PAÍSES DEL ESTE","año",2009)</f>
        <v>29682</v>
      </c>
      <c r="E22" s="38">
        <f>GETPIVOTDATA("dato",'[1]tabla dinámica nacionalidades'!$A$5,"indicador","PAÍSES DEL ESTE","año",2010)</f>
        <v>26764</v>
      </c>
      <c r="F22" s="40">
        <f t="shared" si="0"/>
        <v>-9.8308739303281448E-2</v>
      </c>
      <c r="G22" s="40">
        <f t="shared" si="1"/>
        <v>2.734695504060048E-2</v>
      </c>
      <c r="I22" s="228"/>
      <c r="J22" s="228"/>
    </row>
    <row r="23" spans="2:12">
      <c r="C23" s="231" t="s">
        <v>177</v>
      </c>
      <c r="D23" s="38">
        <f>GETPIVOTDATA("dato",'[1]tabla dinámica nacionalidades'!$A$5,"indicador","RESTO DE EUROPA","año",2009)</f>
        <v>22636</v>
      </c>
      <c r="E23" s="38">
        <f>GETPIVOTDATA("dato",'[1]tabla dinámica nacionalidades'!$A$5,"indicador","RESTO DE EUROPA","año",2010)</f>
        <v>23752</v>
      </c>
      <c r="F23" s="40">
        <f t="shared" si="0"/>
        <v>4.9301996819226014E-2</v>
      </c>
      <c r="G23" s="40">
        <f t="shared" si="1"/>
        <v>2.426934972815508E-2</v>
      </c>
      <c r="I23" s="228"/>
      <c r="J23" s="228"/>
    </row>
    <row r="24" spans="2:12">
      <c r="C24" s="231" t="s">
        <v>178</v>
      </c>
      <c r="D24" s="38">
        <f>GETPIVOTDATA("dato",'[1]tabla dinámica nacionalidades'!$A$5,"indicador","USA","año",2009)</f>
        <v>1823</v>
      </c>
      <c r="E24" s="38">
        <f>GETPIVOTDATA("dato",'[1]tabla dinámica nacionalidades'!$A$5,"indicador","USA","año",2010)</f>
        <v>1920</v>
      </c>
      <c r="F24" s="40">
        <f t="shared" si="0"/>
        <v>5.3208996160175534E-2</v>
      </c>
      <c r="G24" s="40">
        <f t="shared" si="1"/>
        <v>1.9618201194871068E-3</v>
      </c>
      <c r="I24" s="228"/>
      <c r="J24" s="228"/>
    </row>
    <row r="25" spans="2:12">
      <c r="C25" s="231" t="s">
        <v>179</v>
      </c>
      <c r="D25" s="38">
        <f>GETPIVOTDATA("dato",'[1]tabla dinámica nacionalidades'!$A$5,"indicador","RESTO DE AMÉRICA","año",2009)</f>
        <v>1952</v>
      </c>
      <c r="E25" s="38">
        <f>GETPIVOTDATA("dato",'[1]tabla dinámica nacionalidades'!$A$5,"indicador","RESTO DE AMÉRICA","año",2010)</f>
        <v>1682</v>
      </c>
      <c r="F25" s="40">
        <f t="shared" si="0"/>
        <v>-0.13831967213114754</v>
      </c>
      <c r="G25" s="40">
        <f t="shared" si="1"/>
        <v>1.7186361671756841E-3</v>
      </c>
      <c r="I25" s="228"/>
      <c r="J25" s="228"/>
    </row>
    <row r="26" spans="2:12">
      <c r="C26" s="231" t="s">
        <v>180</v>
      </c>
      <c r="D26" s="38">
        <f>GETPIVOTDATA("dato",'[1]tabla dinámica nacionalidades'!$A$5,"indicador","RESTO DEL MUNDO","año",2009)</f>
        <v>3958</v>
      </c>
      <c r="E26" s="38">
        <f>GETPIVOTDATA("dato",'[1]tabla dinámica nacionalidades'!$A$5,"indicador","RESTO DEL MUNDO","año",2010)</f>
        <v>6784</v>
      </c>
      <c r="F26" s="40">
        <f t="shared" si="0"/>
        <v>0.71399696816574032</v>
      </c>
      <c r="G26" s="40">
        <f t="shared" si="1"/>
        <v>6.9317644221877769E-3</v>
      </c>
      <c r="I26" s="228"/>
      <c r="J26" s="228"/>
    </row>
    <row r="27" spans="2:12">
      <c r="C27" s="232" t="s">
        <v>181</v>
      </c>
      <c r="D27" s="233">
        <f>D28-D6</f>
        <v>752811</v>
      </c>
      <c r="E27" s="233">
        <f>E28-E6</f>
        <v>761165</v>
      </c>
      <c r="F27" s="234">
        <f>(E27-D27)/D27</f>
        <v>1.1097074830203066E-2</v>
      </c>
      <c r="G27" s="234">
        <f t="shared" si="1"/>
        <v>0.77774417252573103</v>
      </c>
      <c r="I27" s="228"/>
      <c r="J27" s="228"/>
    </row>
    <row r="28" spans="2:12">
      <c r="C28" s="235" t="s">
        <v>107</v>
      </c>
      <c r="D28" s="236">
        <f>GETPIVOTDATA("dato",'[1]tabla dinámica nacionalidades'!$A$5,"indicador","TOTAL","año",2009)</f>
        <v>945838</v>
      </c>
      <c r="E28" s="236">
        <f>GETPIVOTDATA("dato",'[1]tabla dinámica nacionalidades'!$A$5,"indicador","TOTAL","año",2010)</f>
        <v>978683</v>
      </c>
      <c r="F28" s="237">
        <f t="shared" si="0"/>
        <v>3.472581985498574E-2</v>
      </c>
      <c r="G28" s="237">
        <f t="shared" si="1"/>
        <v>1</v>
      </c>
      <c r="I28" s="228"/>
      <c r="J28" s="228"/>
    </row>
    <row r="29" spans="2:12" ht="23.25" customHeight="1">
      <c r="B29" s="12"/>
      <c r="C29" s="238" t="s">
        <v>184</v>
      </c>
      <c r="D29" s="239"/>
      <c r="E29" s="239"/>
      <c r="F29" s="239"/>
      <c r="G29" s="240"/>
      <c r="H29" s="12"/>
      <c r="I29" s="12"/>
      <c r="J29" s="12"/>
      <c r="K29" s="12"/>
      <c r="L29" s="12"/>
    </row>
    <row r="32" spans="2:12" ht="13.5" thickBot="1"/>
    <row r="33" spans="3:8" ht="29.25" customHeight="1" thickBot="1">
      <c r="G33" s="60" t="s">
        <v>49</v>
      </c>
    </row>
    <row r="38" spans="3:8">
      <c r="C38" s="241"/>
      <c r="D38" s="241"/>
      <c r="E38" s="241"/>
      <c r="F38" s="241"/>
      <c r="G38" s="241"/>
      <c r="H38" s="241"/>
    </row>
    <row r="39" spans="3:8">
      <c r="C39" s="241"/>
      <c r="D39" s="241"/>
      <c r="E39" s="241"/>
      <c r="F39" s="241"/>
      <c r="G39" s="241"/>
      <c r="H39" s="241"/>
    </row>
    <row r="40" spans="3:8">
      <c r="C40" s="241"/>
      <c r="D40" s="241"/>
      <c r="E40" s="241"/>
      <c r="F40" s="241"/>
      <c r="G40" s="241"/>
      <c r="H40" s="241"/>
    </row>
    <row r="41" spans="3:8">
      <c r="C41" s="242"/>
      <c r="D41" s="243"/>
      <c r="E41" s="241"/>
      <c r="F41" s="242"/>
      <c r="G41" s="243"/>
      <c r="H41" s="241"/>
    </row>
    <row r="42" spans="3:8">
      <c r="C42" s="242"/>
      <c r="D42" s="243"/>
      <c r="E42" s="241"/>
      <c r="F42" s="242"/>
      <c r="G42" s="243"/>
      <c r="H42" s="241"/>
    </row>
    <row r="43" spans="3:8">
      <c r="C43" s="244"/>
      <c r="D43" s="243"/>
      <c r="E43" s="241"/>
      <c r="F43" s="244"/>
      <c r="G43" s="243"/>
      <c r="H43" s="241"/>
    </row>
    <row r="44" spans="3:8">
      <c r="C44" s="244"/>
      <c r="D44" s="243"/>
      <c r="E44" s="241"/>
      <c r="F44" s="242"/>
      <c r="G44" s="243"/>
      <c r="H44" s="241"/>
    </row>
    <row r="45" spans="3:8">
      <c r="C45" s="244"/>
      <c r="D45" s="243"/>
      <c r="E45" s="241"/>
      <c r="F45" s="242"/>
      <c r="G45" s="243"/>
      <c r="H45" s="241"/>
    </row>
    <row r="46" spans="3:8">
      <c r="C46" s="242"/>
      <c r="D46" s="243"/>
      <c r="E46" s="241"/>
      <c r="F46" s="245"/>
      <c r="G46" s="243"/>
      <c r="H46" s="241"/>
    </row>
    <row r="47" spans="3:8">
      <c r="C47" s="242"/>
      <c r="D47" s="243"/>
      <c r="E47" s="241"/>
      <c r="F47" s="245"/>
      <c r="G47" s="243"/>
      <c r="H47" s="241"/>
    </row>
    <row r="48" spans="3:8">
      <c r="C48" s="245"/>
      <c r="D48" s="243"/>
      <c r="E48" s="241"/>
      <c r="F48" s="241"/>
      <c r="G48" s="241"/>
      <c r="H48" s="241"/>
    </row>
    <row r="49" spans="3:8">
      <c r="C49" s="245"/>
      <c r="D49" s="243"/>
      <c r="E49" s="241"/>
      <c r="F49" s="241"/>
      <c r="G49" s="241"/>
      <c r="H49" s="241"/>
    </row>
    <row r="50" spans="3:8">
      <c r="C50" s="245"/>
      <c r="D50" s="243"/>
      <c r="E50" s="241"/>
      <c r="F50" s="241"/>
      <c r="G50" s="241"/>
      <c r="H50" s="241"/>
    </row>
    <row r="51" spans="3:8">
      <c r="C51" s="241"/>
      <c r="D51" s="241"/>
      <c r="E51" s="241"/>
      <c r="F51" s="241"/>
      <c r="G51" s="241"/>
      <c r="H51" s="241"/>
    </row>
    <row r="55" spans="3:8" ht="23.25" customHeight="1"/>
  </sheetData>
  <mergeCells count="2">
    <mergeCell ref="C4:G4"/>
    <mergeCell ref="C29:G29"/>
  </mergeCells>
  <hyperlinks>
    <hyperlink ref="G33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4:L29"/>
  <sheetViews>
    <sheetView showGridLines="0" showRowColHeaders="0" showOutlineSymbols="0" zoomScaleNormal="100" workbookViewId="0">
      <selection activeCell="B25" sqref="B25"/>
    </sheetView>
  </sheetViews>
  <sheetFormatPr baseColWidth="10" defaultRowHeight="12.75"/>
  <cols>
    <col min="1" max="2" width="11.42578125" style="2"/>
    <col min="3" max="3" width="36.7109375" style="2" customWidth="1"/>
    <col min="4" max="4" width="12.7109375" style="2" customWidth="1"/>
    <col min="5" max="5" width="12.42578125" style="2" customWidth="1"/>
    <col min="6" max="6" width="12.5703125" style="2" customWidth="1"/>
    <col min="7" max="7" width="4.7109375" style="2" customWidth="1"/>
    <col min="8" max="8" width="36.7109375" style="2" customWidth="1"/>
    <col min="9" max="258" width="11.42578125" style="2"/>
    <col min="259" max="259" width="36.7109375" style="2" customWidth="1"/>
    <col min="260" max="260" width="12.7109375" style="2" customWidth="1"/>
    <col min="261" max="261" width="12.42578125" style="2" customWidth="1"/>
    <col min="262" max="262" width="10.7109375" style="2" customWidth="1"/>
    <col min="263" max="263" width="4.7109375" style="2" customWidth="1"/>
    <col min="264" max="264" width="36.7109375" style="2" customWidth="1"/>
    <col min="265" max="514" width="11.42578125" style="2"/>
    <col min="515" max="515" width="36.7109375" style="2" customWidth="1"/>
    <col min="516" max="516" width="12.7109375" style="2" customWidth="1"/>
    <col min="517" max="517" width="12.42578125" style="2" customWidth="1"/>
    <col min="518" max="518" width="10.7109375" style="2" customWidth="1"/>
    <col min="519" max="519" width="4.7109375" style="2" customWidth="1"/>
    <col min="520" max="520" width="36.7109375" style="2" customWidth="1"/>
    <col min="521" max="770" width="11.42578125" style="2"/>
    <col min="771" max="771" width="36.7109375" style="2" customWidth="1"/>
    <col min="772" max="772" width="12.7109375" style="2" customWidth="1"/>
    <col min="773" max="773" width="12.42578125" style="2" customWidth="1"/>
    <col min="774" max="774" width="10.7109375" style="2" customWidth="1"/>
    <col min="775" max="775" width="4.7109375" style="2" customWidth="1"/>
    <col min="776" max="776" width="36.7109375" style="2" customWidth="1"/>
    <col min="777" max="1026" width="11.42578125" style="2"/>
    <col min="1027" max="1027" width="36.7109375" style="2" customWidth="1"/>
    <col min="1028" max="1028" width="12.7109375" style="2" customWidth="1"/>
    <col min="1029" max="1029" width="12.42578125" style="2" customWidth="1"/>
    <col min="1030" max="1030" width="10.7109375" style="2" customWidth="1"/>
    <col min="1031" max="1031" width="4.7109375" style="2" customWidth="1"/>
    <col min="1032" max="1032" width="36.7109375" style="2" customWidth="1"/>
    <col min="1033" max="1282" width="11.42578125" style="2"/>
    <col min="1283" max="1283" width="36.7109375" style="2" customWidth="1"/>
    <col min="1284" max="1284" width="12.7109375" style="2" customWidth="1"/>
    <col min="1285" max="1285" width="12.42578125" style="2" customWidth="1"/>
    <col min="1286" max="1286" width="10.7109375" style="2" customWidth="1"/>
    <col min="1287" max="1287" width="4.7109375" style="2" customWidth="1"/>
    <col min="1288" max="1288" width="36.7109375" style="2" customWidth="1"/>
    <col min="1289" max="1538" width="11.42578125" style="2"/>
    <col min="1539" max="1539" width="36.7109375" style="2" customWidth="1"/>
    <col min="1540" max="1540" width="12.7109375" style="2" customWidth="1"/>
    <col min="1541" max="1541" width="12.42578125" style="2" customWidth="1"/>
    <col min="1542" max="1542" width="10.7109375" style="2" customWidth="1"/>
    <col min="1543" max="1543" width="4.7109375" style="2" customWidth="1"/>
    <col min="1544" max="1544" width="36.7109375" style="2" customWidth="1"/>
    <col min="1545" max="1794" width="11.42578125" style="2"/>
    <col min="1795" max="1795" width="36.7109375" style="2" customWidth="1"/>
    <col min="1796" max="1796" width="12.7109375" style="2" customWidth="1"/>
    <col min="1797" max="1797" width="12.42578125" style="2" customWidth="1"/>
    <col min="1798" max="1798" width="10.7109375" style="2" customWidth="1"/>
    <col min="1799" max="1799" width="4.7109375" style="2" customWidth="1"/>
    <col min="1800" max="1800" width="36.7109375" style="2" customWidth="1"/>
    <col min="1801" max="2050" width="11.42578125" style="2"/>
    <col min="2051" max="2051" width="36.7109375" style="2" customWidth="1"/>
    <col min="2052" max="2052" width="12.7109375" style="2" customWidth="1"/>
    <col min="2053" max="2053" width="12.42578125" style="2" customWidth="1"/>
    <col min="2054" max="2054" width="10.7109375" style="2" customWidth="1"/>
    <col min="2055" max="2055" width="4.7109375" style="2" customWidth="1"/>
    <col min="2056" max="2056" width="36.7109375" style="2" customWidth="1"/>
    <col min="2057" max="2306" width="11.42578125" style="2"/>
    <col min="2307" max="2307" width="36.7109375" style="2" customWidth="1"/>
    <col min="2308" max="2308" width="12.7109375" style="2" customWidth="1"/>
    <col min="2309" max="2309" width="12.42578125" style="2" customWidth="1"/>
    <col min="2310" max="2310" width="10.7109375" style="2" customWidth="1"/>
    <col min="2311" max="2311" width="4.7109375" style="2" customWidth="1"/>
    <col min="2312" max="2312" width="36.7109375" style="2" customWidth="1"/>
    <col min="2313" max="2562" width="11.42578125" style="2"/>
    <col min="2563" max="2563" width="36.7109375" style="2" customWidth="1"/>
    <col min="2564" max="2564" width="12.7109375" style="2" customWidth="1"/>
    <col min="2565" max="2565" width="12.42578125" style="2" customWidth="1"/>
    <col min="2566" max="2566" width="10.7109375" style="2" customWidth="1"/>
    <col min="2567" max="2567" width="4.7109375" style="2" customWidth="1"/>
    <col min="2568" max="2568" width="36.7109375" style="2" customWidth="1"/>
    <col min="2569" max="2818" width="11.42578125" style="2"/>
    <col min="2819" max="2819" width="36.7109375" style="2" customWidth="1"/>
    <col min="2820" max="2820" width="12.7109375" style="2" customWidth="1"/>
    <col min="2821" max="2821" width="12.42578125" style="2" customWidth="1"/>
    <col min="2822" max="2822" width="10.7109375" style="2" customWidth="1"/>
    <col min="2823" max="2823" width="4.7109375" style="2" customWidth="1"/>
    <col min="2824" max="2824" width="36.7109375" style="2" customWidth="1"/>
    <col min="2825" max="3074" width="11.42578125" style="2"/>
    <col min="3075" max="3075" width="36.7109375" style="2" customWidth="1"/>
    <col min="3076" max="3076" width="12.7109375" style="2" customWidth="1"/>
    <col min="3077" max="3077" width="12.42578125" style="2" customWidth="1"/>
    <col min="3078" max="3078" width="10.7109375" style="2" customWidth="1"/>
    <col min="3079" max="3079" width="4.7109375" style="2" customWidth="1"/>
    <col min="3080" max="3080" width="36.7109375" style="2" customWidth="1"/>
    <col min="3081" max="3330" width="11.42578125" style="2"/>
    <col min="3331" max="3331" width="36.7109375" style="2" customWidth="1"/>
    <col min="3332" max="3332" width="12.7109375" style="2" customWidth="1"/>
    <col min="3333" max="3333" width="12.42578125" style="2" customWidth="1"/>
    <col min="3334" max="3334" width="10.7109375" style="2" customWidth="1"/>
    <col min="3335" max="3335" width="4.7109375" style="2" customWidth="1"/>
    <col min="3336" max="3336" width="36.7109375" style="2" customWidth="1"/>
    <col min="3337" max="3586" width="11.42578125" style="2"/>
    <col min="3587" max="3587" width="36.7109375" style="2" customWidth="1"/>
    <col min="3588" max="3588" width="12.7109375" style="2" customWidth="1"/>
    <col min="3589" max="3589" width="12.42578125" style="2" customWidth="1"/>
    <col min="3590" max="3590" width="10.7109375" style="2" customWidth="1"/>
    <col min="3591" max="3591" width="4.7109375" style="2" customWidth="1"/>
    <col min="3592" max="3592" width="36.7109375" style="2" customWidth="1"/>
    <col min="3593" max="3842" width="11.42578125" style="2"/>
    <col min="3843" max="3843" width="36.7109375" style="2" customWidth="1"/>
    <col min="3844" max="3844" width="12.7109375" style="2" customWidth="1"/>
    <col min="3845" max="3845" width="12.42578125" style="2" customWidth="1"/>
    <col min="3846" max="3846" width="10.7109375" style="2" customWidth="1"/>
    <col min="3847" max="3847" width="4.7109375" style="2" customWidth="1"/>
    <col min="3848" max="3848" width="36.7109375" style="2" customWidth="1"/>
    <col min="3849" max="4098" width="11.42578125" style="2"/>
    <col min="4099" max="4099" width="36.7109375" style="2" customWidth="1"/>
    <col min="4100" max="4100" width="12.7109375" style="2" customWidth="1"/>
    <col min="4101" max="4101" width="12.42578125" style="2" customWidth="1"/>
    <col min="4102" max="4102" width="10.7109375" style="2" customWidth="1"/>
    <col min="4103" max="4103" width="4.7109375" style="2" customWidth="1"/>
    <col min="4104" max="4104" width="36.7109375" style="2" customWidth="1"/>
    <col min="4105" max="4354" width="11.42578125" style="2"/>
    <col min="4355" max="4355" width="36.7109375" style="2" customWidth="1"/>
    <col min="4356" max="4356" width="12.7109375" style="2" customWidth="1"/>
    <col min="4357" max="4357" width="12.42578125" style="2" customWidth="1"/>
    <col min="4358" max="4358" width="10.7109375" style="2" customWidth="1"/>
    <col min="4359" max="4359" width="4.7109375" style="2" customWidth="1"/>
    <col min="4360" max="4360" width="36.7109375" style="2" customWidth="1"/>
    <col min="4361" max="4610" width="11.42578125" style="2"/>
    <col min="4611" max="4611" width="36.7109375" style="2" customWidth="1"/>
    <col min="4612" max="4612" width="12.7109375" style="2" customWidth="1"/>
    <col min="4613" max="4613" width="12.42578125" style="2" customWidth="1"/>
    <col min="4614" max="4614" width="10.7109375" style="2" customWidth="1"/>
    <col min="4615" max="4615" width="4.7109375" style="2" customWidth="1"/>
    <col min="4616" max="4616" width="36.7109375" style="2" customWidth="1"/>
    <col min="4617" max="4866" width="11.42578125" style="2"/>
    <col min="4867" max="4867" width="36.7109375" style="2" customWidth="1"/>
    <col min="4868" max="4868" width="12.7109375" style="2" customWidth="1"/>
    <col min="4869" max="4869" width="12.42578125" style="2" customWidth="1"/>
    <col min="4870" max="4870" width="10.7109375" style="2" customWidth="1"/>
    <col min="4871" max="4871" width="4.7109375" style="2" customWidth="1"/>
    <col min="4872" max="4872" width="36.7109375" style="2" customWidth="1"/>
    <col min="4873" max="5122" width="11.42578125" style="2"/>
    <col min="5123" max="5123" width="36.7109375" style="2" customWidth="1"/>
    <col min="5124" max="5124" width="12.7109375" style="2" customWidth="1"/>
    <col min="5125" max="5125" width="12.42578125" style="2" customWidth="1"/>
    <col min="5126" max="5126" width="10.7109375" style="2" customWidth="1"/>
    <col min="5127" max="5127" width="4.7109375" style="2" customWidth="1"/>
    <col min="5128" max="5128" width="36.7109375" style="2" customWidth="1"/>
    <col min="5129" max="5378" width="11.42578125" style="2"/>
    <col min="5379" max="5379" width="36.7109375" style="2" customWidth="1"/>
    <col min="5380" max="5380" width="12.7109375" style="2" customWidth="1"/>
    <col min="5381" max="5381" width="12.42578125" style="2" customWidth="1"/>
    <col min="5382" max="5382" width="10.7109375" style="2" customWidth="1"/>
    <col min="5383" max="5383" width="4.7109375" style="2" customWidth="1"/>
    <col min="5384" max="5384" width="36.7109375" style="2" customWidth="1"/>
    <col min="5385" max="5634" width="11.42578125" style="2"/>
    <col min="5635" max="5635" width="36.7109375" style="2" customWidth="1"/>
    <col min="5636" max="5636" width="12.7109375" style="2" customWidth="1"/>
    <col min="5637" max="5637" width="12.42578125" style="2" customWidth="1"/>
    <col min="5638" max="5638" width="10.7109375" style="2" customWidth="1"/>
    <col min="5639" max="5639" width="4.7109375" style="2" customWidth="1"/>
    <col min="5640" max="5640" width="36.7109375" style="2" customWidth="1"/>
    <col min="5641" max="5890" width="11.42578125" style="2"/>
    <col min="5891" max="5891" width="36.7109375" style="2" customWidth="1"/>
    <col min="5892" max="5892" width="12.7109375" style="2" customWidth="1"/>
    <col min="5893" max="5893" width="12.42578125" style="2" customWidth="1"/>
    <col min="5894" max="5894" width="10.7109375" style="2" customWidth="1"/>
    <col min="5895" max="5895" width="4.7109375" style="2" customWidth="1"/>
    <col min="5896" max="5896" width="36.7109375" style="2" customWidth="1"/>
    <col min="5897" max="6146" width="11.42578125" style="2"/>
    <col min="6147" max="6147" width="36.7109375" style="2" customWidth="1"/>
    <col min="6148" max="6148" width="12.7109375" style="2" customWidth="1"/>
    <col min="6149" max="6149" width="12.42578125" style="2" customWidth="1"/>
    <col min="6150" max="6150" width="10.7109375" style="2" customWidth="1"/>
    <col min="6151" max="6151" width="4.7109375" style="2" customWidth="1"/>
    <col min="6152" max="6152" width="36.7109375" style="2" customWidth="1"/>
    <col min="6153" max="6402" width="11.42578125" style="2"/>
    <col min="6403" max="6403" width="36.7109375" style="2" customWidth="1"/>
    <col min="6404" max="6404" width="12.7109375" style="2" customWidth="1"/>
    <col min="6405" max="6405" width="12.42578125" style="2" customWidth="1"/>
    <col min="6406" max="6406" width="10.7109375" style="2" customWidth="1"/>
    <col min="6407" max="6407" width="4.7109375" style="2" customWidth="1"/>
    <col min="6408" max="6408" width="36.7109375" style="2" customWidth="1"/>
    <col min="6409" max="6658" width="11.42578125" style="2"/>
    <col min="6659" max="6659" width="36.7109375" style="2" customWidth="1"/>
    <col min="6660" max="6660" width="12.7109375" style="2" customWidth="1"/>
    <col min="6661" max="6661" width="12.42578125" style="2" customWidth="1"/>
    <col min="6662" max="6662" width="10.7109375" style="2" customWidth="1"/>
    <col min="6663" max="6663" width="4.7109375" style="2" customWidth="1"/>
    <col min="6664" max="6664" width="36.7109375" style="2" customWidth="1"/>
    <col min="6665" max="6914" width="11.42578125" style="2"/>
    <col min="6915" max="6915" width="36.7109375" style="2" customWidth="1"/>
    <col min="6916" max="6916" width="12.7109375" style="2" customWidth="1"/>
    <col min="6917" max="6917" width="12.42578125" style="2" customWidth="1"/>
    <col min="6918" max="6918" width="10.7109375" style="2" customWidth="1"/>
    <col min="6919" max="6919" width="4.7109375" style="2" customWidth="1"/>
    <col min="6920" max="6920" width="36.7109375" style="2" customWidth="1"/>
    <col min="6921" max="7170" width="11.42578125" style="2"/>
    <col min="7171" max="7171" width="36.7109375" style="2" customWidth="1"/>
    <col min="7172" max="7172" width="12.7109375" style="2" customWidth="1"/>
    <col min="7173" max="7173" width="12.42578125" style="2" customWidth="1"/>
    <col min="7174" max="7174" width="10.7109375" style="2" customWidth="1"/>
    <col min="7175" max="7175" width="4.7109375" style="2" customWidth="1"/>
    <col min="7176" max="7176" width="36.7109375" style="2" customWidth="1"/>
    <col min="7177" max="7426" width="11.42578125" style="2"/>
    <col min="7427" max="7427" width="36.7109375" style="2" customWidth="1"/>
    <col min="7428" max="7428" width="12.7109375" style="2" customWidth="1"/>
    <col min="7429" max="7429" width="12.42578125" style="2" customWidth="1"/>
    <col min="7430" max="7430" width="10.7109375" style="2" customWidth="1"/>
    <col min="7431" max="7431" width="4.7109375" style="2" customWidth="1"/>
    <col min="7432" max="7432" width="36.7109375" style="2" customWidth="1"/>
    <col min="7433" max="7682" width="11.42578125" style="2"/>
    <col min="7683" max="7683" width="36.7109375" style="2" customWidth="1"/>
    <col min="7684" max="7684" width="12.7109375" style="2" customWidth="1"/>
    <col min="7685" max="7685" width="12.42578125" style="2" customWidth="1"/>
    <col min="7686" max="7686" width="10.7109375" style="2" customWidth="1"/>
    <col min="7687" max="7687" width="4.7109375" style="2" customWidth="1"/>
    <col min="7688" max="7688" width="36.7109375" style="2" customWidth="1"/>
    <col min="7689" max="7938" width="11.42578125" style="2"/>
    <col min="7939" max="7939" width="36.7109375" style="2" customWidth="1"/>
    <col min="7940" max="7940" width="12.7109375" style="2" customWidth="1"/>
    <col min="7941" max="7941" width="12.42578125" style="2" customWidth="1"/>
    <col min="7942" max="7942" width="10.7109375" style="2" customWidth="1"/>
    <col min="7943" max="7943" width="4.7109375" style="2" customWidth="1"/>
    <col min="7944" max="7944" width="36.7109375" style="2" customWidth="1"/>
    <col min="7945" max="8194" width="11.42578125" style="2"/>
    <col min="8195" max="8195" width="36.7109375" style="2" customWidth="1"/>
    <col min="8196" max="8196" width="12.7109375" style="2" customWidth="1"/>
    <col min="8197" max="8197" width="12.42578125" style="2" customWidth="1"/>
    <col min="8198" max="8198" width="10.7109375" style="2" customWidth="1"/>
    <col min="8199" max="8199" width="4.7109375" style="2" customWidth="1"/>
    <col min="8200" max="8200" width="36.7109375" style="2" customWidth="1"/>
    <col min="8201" max="8450" width="11.42578125" style="2"/>
    <col min="8451" max="8451" width="36.7109375" style="2" customWidth="1"/>
    <col min="8452" max="8452" width="12.7109375" style="2" customWidth="1"/>
    <col min="8453" max="8453" width="12.42578125" style="2" customWidth="1"/>
    <col min="8454" max="8454" width="10.7109375" style="2" customWidth="1"/>
    <col min="8455" max="8455" width="4.7109375" style="2" customWidth="1"/>
    <col min="8456" max="8456" width="36.7109375" style="2" customWidth="1"/>
    <col min="8457" max="8706" width="11.42578125" style="2"/>
    <col min="8707" max="8707" width="36.7109375" style="2" customWidth="1"/>
    <col min="8708" max="8708" width="12.7109375" style="2" customWidth="1"/>
    <col min="8709" max="8709" width="12.42578125" style="2" customWidth="1"/>
    <col min="8710" max="8710" width="10.7109375" style="2" customWidth="1"/>
    <col min="8711" max="8711" width="4.7109375" style="2" customWidth="1"/>
    <col min="8712" max="8712" width="36.7109375" style="2" customWidth="1"/>
    <col min="8713" max="8962" width="11.42578125" style="2"/>
    <col min="8963" max="8963" width="36.7109375" style="2" customWidth="1"/>
    <col min="8964" max="8964" width="12.7109375" style="2" customWidth="1"/>
    <col min="8965" max="8965" width="12.42578125" style="2" customWidth="1"/>
    <col min="8966" max="8966" width="10.7109375" style="2" customWidth="1"/>
    <col min="8967" max="8967" width="4.7109375" style="2" customWidth="1"/>
    <col min="8968" max="8968" width="36.7109375" style="2" customWidth="1"/>
    <col min="8969" max="9218" width="11.42578125" style="2"/>
    <col min="9219" max="9219" width="36.7109375" style="2" customWidth="1"/>
    <col min="9220" max="9220" width="12.7109375" style="2" customWidth="1"/>
    <col min="9221" max="9221" width="12.42578125" style="2" customWidth="1"/>
    <col min="9222" max="9222" width="10.7109375" style="2" customWidth="1"/>
    <col min="9223" max="9223" width="4.7109375" style="2" customWidth="1"/>
    <col min="9224" max="9224" width="36.7109375" style="2" customWidth="1"/>
    <col min="9225" max="9474" width="11.42578125" style="2"/>
    <col min="9475" max="9475" width="36.7109375" style="2" customWidth="1"/>
    <col min="9476" max="9476" width="12.7109375" style="2" customWidth="1"/>
    <col min="9477" max="9477" width="12.42578125" style="2" customWidth="1"/>
    <col min="9478" max="9478" width="10.7109375" style="2" customWidth="1"/>
    <col min="9479" max="9479" width="4.7109375" style="2" customWidth="1"/>
    <col min="9480" max="9480" width="36.7109375" style="2" customWidth="1"/>
    <col min="9481" max="9730" width="11.42578125" style="2"/>
    <col min="9731" max="9731" width="36.7109375" style="2" customWidth="1"/>
    <col min="9732" max="9732" width="12.7109375" style="2" customWidth="1"/>
    <col min="9733" max="9733" width="12.42578125" style="2" customWidth="1"/>
    <col min="9734" max="9734" width="10.7109375" style="2" customWidth="1"/>
    <col min="9735" max="9735" width="4.7109375" style="2" customWidth="1"/>
    <col min="9736" max="9736" width="36.7109375" style="2" customWidth="1"/>
    <col min="9737" max="9986" width="11.42578125" style="2"/>
    <col min="9987" max="9987" width="36.7109375" style="2" customWidth="1"/>
    <col min="9988" max="9988" width="12.7109375" style="2" customWidth="1"/>
    <col min="9989" max="9989" width="12.42578125" style="2" customWidth="1"/>
    <col min="9990" max="9990" width="10.7109375" style="2" customWidth="1"/>
    <col min="9991" max="9991" width="4.7109375" style="2" customWidth="1"/>
    <col min="9992" max="9992" width="36.7109375" style="2" customWidth="1"/>
    <col min="9993" max="10242" width="11.42578125" style="2"/>
    <col min="10243" max="10243" width="36.7109375" style="2" customWidth="1"/>
    <col min="10244" max="10244" width="12.7109375" style="2" customWidth="1"/>
    <col min="10245" max="10245" width="12.42578125" style="2" customWidth="1"/>
    <col min="10246" max="10246" width="10.7109375" style="2" customWidth="1"/>
    <col min="10247" max="10247" width="4.7109375" style="2" customWidth="1"/>
    <col min="10248" max="10248" width="36.7109375" style="2" customWidth="1"/>
    <col min="10249" max="10498" width="11.42578125" style="2"/>
    <col min="10499" max="10499" width="36.7109375" style="2" customWidth="1"/>
    <col min="10500" max="10500" width="12.7109375" style="2" customWidth="1"/>
    <col min="10501" max="10501" width="12.42578125" style="2" customWidth="1"/>
    <col min="10502" max="10502" width="10.7109375" style="2" customWidth="1"/>
    <col min="10503" max="10503" width="4.7109375" style="2" customWidth="1"/>
    <col min="10504" max="10504" width="36.7109375" style="2" customWidth="1"/>
    <col min="10505" max="10754" width="11.42578125" style="2"/>
    <col min="10755" max="10755" width="36.7109375" style="2" customWidth="1"/>
    <col min="10756" max="10756" width="12.7109375" style="2" customWidth="1"/>
    <col min="10757" max="10757" width="12.42578125" style="2" customWidth="1"/>
    <col min="10758" max="10758" width="10.7109375" style="2" customWidth="1"/>
    <col min="10759" max="10759" width="4.7109375" style="2" customWidth="1"/>
    <col min="10760" max="10760" width="36.7109375" style="2" customWidth="1"/>
    <col min="10761" max="11010" width="11.42578125" style="2"/>
    <col min="11011" max="11011" width="36.7109375" style="2" customWidth="1"/>
    <col min="11012" max="11012" width="12.7109375" style="2" customWidth="1"/>
    <col min="11013" max="11013" width="12.42578125" style="2" customWidth="1"/>
    <col min="11014" max="11014" width="10.7109375" style="2" customWidth="1"/>
    <col min="11015" max="11015" width="4.7109375" style="2" customWidth="1"/>
    <col min="11016" max="11016" width="36.7109375" style="2" customWidth="1"/>
    <col min="11017" max="11266" width="11.42578125" style="2"/>
    <col min="11267" max="11267" width="36.7109375" style="2" customWidth="1"/>
    <col min="11268" max="11268" width="12.7109375" style="2" customWidth="1"/>
    <col min="11269" max="11269" width="12.42578125" style="2" customWidth="1"/>
    <col min="11270" max="11270" width="10.7109375" style="2" customWidth="1"/>
    <col min="11271" max="11271" width="4.7109375" style="2" customWidth="1"/>
    <col min="11272" max="11272" width="36.7109375" style="2" customWidth="1"/>
    <col min="11273" max="11522" width="11.42578125" style="2"/>
    <col min="11523" max="11523" width="36.7109375" style="2" customWidth="1"/>
    <col min="11524" max="11524" width="12.7109375" style="2" customWidth="1"/>
    <col min="11525" max="11525" width="12.42578125" style="2" customWidth="1"/>
    <col min="11526" max="11526" width="10.7109375" style="2" customWidth="1"/>
    <col min="11527" max="11527" width="4.7109375" style="2" customWidth="1"/>
    <col min="11528" max="11528" width="36.7109375" style="2" customWidth="1"/>
    <col min="11529" max="11778" width="11.42578125" style="2"/>
    <col min="11779" max="11779" width="36.7109375" style="2" customWidth="1"/>
    <col min="11780" max="11780" width="12.7109375" style="2" customWidth="1"/>
    <col min="11781" max="11781" width="12.42578125" style="2" customWidth="1"/>
    <col min="11782" max="11782" width="10.7109375" style="2" customWidth="1"/>
    <col min="11783" max="11783" width="4.7109375" style="2" customWidth="1"/>
    <col min="11784" max="11784" width="36.7109375" style="2" customWidth="1"/>
    <col min="11785" max="12034" width="11.42578125" style="2"/>
    <col min="12035" max="12035" width="36.7109375" style="2" customWidth="1"/>
    <col min="12036" max="12036" width="12.7109375" style="2" customWidth="1"/>
    <col min="12037" max="12037" width="12.42578125" style="2" customWidth="1"/>
    <col min="12038" max="12038" width="10.7109375" style="2" customWidth="1"/>
    <col min="12039" max="12039" width="4.7109375" style="2" customWidth="1"/>
    <col min="12040" max="12040" width="36.7109375" style="2" customWidth="1"/>
    <col min="12041" max="12290" width="11.42578125" style="2"/>
    <col min="12291" max="12291" width="36.7109375" style="2" customWidth="1"/>
    <col min="12292" max="12292" width="12.7109375" style="2" customWidth="1"/>
    <col min="12293" max="12293" width="12.42578125" style="2" customWidth="1"/>
    <col min="12294" max="12294" width="10.7109375" style="2" customWidth="1"/>
    <col min="12295" max="12295" width="4.7109375" style="2" customWidth="1"/>
    <col min="12296" max="12296" width="36.7109375" style="2" customWidth="1"/>
    <col min="12297" max="12546" width="11.42578125" style="2"/>
    <col min="12547" max="12547" width="36.7109375" style="2" customWidth="1"/>
    <col min="12548" max="12548" width="12.7109375" style="2" customWidth="1"/>
    <col min="12549" max="12549" width="12.42578125" style="2" customWidth="1"/>
    <col min="12550" max="12550" width="10.7109375" style="2" customWidth="1"/>
    <col min="12551" max="12551" width="4.7109375" style="2" customWidth="1"/>
    <col min="12552" max="12552" width="36.7109375" style="2" customWidth="1"/>
    <col min="12553" max="12802" width="11.42578125" style="2"/>
    <col min="12803" max="12803" width="36.7109375" style="2" customWidth="1"/>
    <col min="12804" max="12804" width="12.7109375" style="2" customWidth="1"/>
    <col min="12805" max="12805" width="12.42578125" style="2" customWidth="1"/>
    <col min="12806" max="12806" width="10.7109375" style="2" customWidth="1"/>
    <col min="12807" max="12807" width="4.7109375" style="2" customWidth="1"/>
    <col min="12808" max="12808" width="36.7109375" style="2" customWidth="1"/>
    <col min="12809" max="13058" width="11.42578125" style="2"/>
    <col min="13059" max="13059" width="36.7109375" style="2" customWidth="1"/>
    <col min="13060" max="13060" width="12.7109375" style="2" customWidth="1"/>
    <col min="13061" max="13061" width="12.42578125" style="2" customWidth="1"/>
    <col min="13062" max="13062" width="10.7109375" style="2" customWidth="1"/>
    <col min="13063" max="13063" width="4.7109375" style="2" customWidth="1"/>
    <col min="13064" max="13064" width="36.7109375" style="2" customWidth="1"/>
    <col min="13065" max="13314" width="11.42578125" style="2"/>
    <col min="13315" max="13315" width="36.7109375" style="2" customWidth="1"/>
    <col min="13316" max="13316" width="12.7109375" style="2" customWidth="1"/>
    <col min="13317" max="13317" width="12.42578125" style="2" customWidth="1"/>
    <col min="13318" max="13318" width="10.7109375" style="2" customWidth="1"/>
    <col min="13319" max="13319" width="4.7109375" style="2" customWidth="1"/>
    <col min="13320" max="13320" width="36.7109375" style="2" customWidth="1"/>
    <col min="13321" max="13570" width="11.42578125" style="2"/>
    <col min="13571" max="13571" width="36.7109375" style="2" customWidth="1"/>
    <col min="13572" max="13572" width="12.7109375" style="2" customWidth="1"/>
    <col min="13573" max="13573" width="12.42578125" style="2" customWidth="1"/>
    <col min="13574" max="13574" width="10.7109375" style="2" customWidth="1"/>
    <col min="13575" max="13575" width="4.7109375" style="2" customWidth="1"/>
    <col min="13576" max="13576" width="36.7109375" style="2" customWidth="1"/>
    <col min="13577" max="13826" width="11.42578125" style="2"/>
    <col min="13827" max="13827" width="36.7109375" style="2" customWidth="1"/>
    <col min="13828" max="13828" width="12.7109375" style="2" customWidth="1"/>
    <col min="13829" max="13829" width="12.42578125" style="2" customWidth="1"/>
    <col min="13830" max="13830" width="10.7109375" style="2" customWidth="1"/>
    <col min="13831" max="13831" width="4.7109375" style="2" customWidth="1"/>
    <col min="13832" max="13832" width="36.7109375" style="2" customWidth="1"/>
    <col min="13833" max="14082" width="11.42578125" style="2"/>
    <col min="14083" max="14083" width="36.7109375" style="2" customWidth="1"/>
    <col min="14084" max="14084" width="12.7109375" style="2" customWidth="1"/>
    <col min="14085" max="14085" width="12.42578125" style="2" customWidth="1"/>
    <col min="14086" max="14086" width="10.7109375" style="2" customWidth="1"/>
    <col min="14087" max="14087" width="4.7109375" style="2" customWidth="1"/>
    <col min="14088" max="14088" width="36.7109375" style="2" customWidth="1"/>
    <col min="14089" max="14338" width="11.42578125" style="2"/>
    <col min="14339" max="14339" width="36.7109375" style="2" customWidth="1"/>
    <col min="14340" max="14340" width="12.7109375" style="2" customWidth="1"/>
    <col min="14341" max="14341" width="12.42578125" style="2" customWidth="1"/>
    <col min="14342" max="14342" width="10.7109375" style="2" customWidth="1"/>
    <col min="14343" max="14343" width="4.7109375" style="2" customWidth="1"/>
    <col min="14344" max="14344" width="36.7109375" style="2" customWidth="1"/>
    <col min="14345" max="14594" width="11.42578125" style="2"/>
    <col min="14595" max="14595" width="36.7109375" style="2" customWidth="1"/>
    <col min="14596" max="14596" width="12.7109375" style="2" customWidth="1"/>
    <col min="14597" max="14597" width="12.42578125" style="2" customWidth="1"/>
    <col min="14598" max="14598" width="10.7109375" style="2" customWidth="1"/>
    <col min="14599" max="14599" width="4.7109375" style="2" customWidth="1"/>
    <col min="14600" max="14600" width="36.7109375" style="2" customWidth="1"/>
    <col min="14601" max="14850" width="11.42578125" style="2"/>
    <col min="14851" max="14851" width="36.7109375" style="2" customWidth="1"/>
    <col min="14852" max="14852" width="12.7109375" style="2" customWidth="1"/>
    <col min="14853" max="14853" width="12.42578125" style="2" customWidth="1"/>
    <col min="14854" max="14854" width="10.7109375" style="2" customWidth="1"/>
    <col min="14855" max="14855" width="4.7109375" style="2" customWidth="1"/>
    <col min="14856" max="14856" width="36.7109375" style="2" customWidth="1"/>
    <col min="14857" max="15106" width="11.42578125" style="2"/>
    <col min="15107" max="15107" width="36.7109375" style="2" customWidth="1"/>
    <col min="15108" max="15108" width="12.7109375" style="2" customWidth="1"/>
    <col min="15109" max="15109" width="12.42578125" style="2" customWidth="1"/>
    <col min="15110" max="15110" width="10.7109375" style="2" customWidth="1"/>
    <col min="15111" max="15111" width="4.7109375" style="2" customWidth="1"/>
    <col min="15112" max="15112" width="36.7109375" style="2" customWidth="1"/>
    <col min="15113" max="15362" width="11.42578125" style="2"/>
    <col min="15363" max="15363" width="36.7109375" style="2" customWidth="1"/>
    <col min="15364" max="15364" width="12.7109375" style="2" customWidth="1"/>
    <col min="15365" max="15365" width="12.42578125" style="2" customWidth="1"/>
    <col min="15366" max="15366" width="10.7109375" style="2" customWidth="1"/>
    <col min="15367" max="15367" width="4.7109375" style="2" customWidth="1"/>
    <col min="15368" max="15368" width="36.7109375" style="2" customWidth="1"/>
    <col min="15369" max="15618" width="11.42578125" style="2"/>
    <col min="15619" max="15619" width="36.7109375" style="2" customWidth="1"/>
    <col min="15620" max="15620" width="12.7109375" style="2" customWidth="1"/>
    <col min="15621" max="15621" width="12.42578125" style="2" customWidth="1"/>
    <col min="15622" max="15622" width="10.7109375" style="2" customWidth="1"/>
    <col min="15623" max="15623" width="4.7109375" style="2" customWidth="1"/>
    <col min="15624" max="15624" width="36.7109375" style="2" customWidth="1"/>
    <col min="15625" max="15874" width="11.42578125" style="2"/>
    <col min="15875" max="15875" width="36.7109375" style="2" customWidth="1"/>
    <col min="15876" max="15876" width="12.7109375" style="2" customWidth="1"/>
    <col min="15877" max="15877" width="12.42578125" style="2" customWidth="1"/>
    <col min="15878" max="15878" width="10.7109375" style="2" customWidth="1"/>
    <col min="15879" max="15879" width="4.7109375" style="2" customWidth="1"/>
    <col min="15880" max="15880" width="36.7109375" style="2" customWidth="1"/>
    <col min="15881" max="16130" width="11.42578125" style="2"/>
    <col min="16131" max="16131" width="36.7109375" style="2" customWidth="1"/>
    <col min="16132" max="16132" width="12.7109375" style="2" customWidth="1"/>
    <col min="16133" max="16133" width="12.42578125" style="2" customWidth="1"/>
    <col min="16134" max="16134" width="10.7109375" style="2" customWidth="1"/>
    <col min="16135" max="16135" width="4.7109375" style="2" customWidth="1"/>
    <col min="16136" max="16136" width="36.7109375" style="2" customWidth="1"/>
    <col min="16137" max="16384" width="11.42578125" style="2"/>
  </cols>
  <sheetData>
    <row r="4" spans="3:6" ht="36.75" customHeight="1">
      <c r="C4" s="246" t="s">
        <v>185</v>
      </c>
      <c r="D4" s="247"/>
      <c r="E4" s="248"/>
    </row>
    <row r="5" spans="3:6" ht="43.5" customHeight="1">
      <c r="C5" s="222" t="s">
        <v>158</v>
      </c>
      <c r="D5" s="223" t="str">
        <f>actualizaciones!A3</f>
        <v>acumulado julio 2009</v>
      </c>
      <c r="E5" s="223" t="str">
        <f>actualizaciones!A2</f>
        <v xml:space="preserve">acumulado julio 2010 </v>
      </c>
    </row>
    <row r="6" spans="3:6" ht="15">
      <c r="C6" s="225" t="s">
        <v>159</v>
      </c>
      <c r="D6" s="249">
        <f>'Nacionalidades '!D6/'Nacionalidades '!$D$28</f>
        <v>0.20408040277510525</v>
      </c>
      <c r="E6" s="250">
        <f>'Nacionalidades '!E6/'Nacionalidades '!$E$28</f>
        <v>0.222255827474269</v>
      </c>
      <c r="F6" s="251"/>
    </row>
    <row r="7" spans="3:6" ht="15">
      <c r="C7" s="37" t="s">
        <v>161</v>
      </c>
      <c r="D7" s="252">
        <f>'Nacionalidades '!D7/'Nacionalidades '!$D$28</f>
        <v>3.7750650745687953E-2</v>
      </c>
      <c r="E7" s="253">
        <f>'Nacionalidades '!E7/'Nacionalidades '!$E$28</f>
        <v>3.4631234015508598E-2</v>
      </c>
      <c r="F7" s="251"/>
    </row>
    <row r="8" spans="3:6" ht="15">
      <c r="C8" s="37" t="s">
        <v>162</v>
      </c>
      <c r="D8" s="252">
        <f>'Nacionalidades '!D8/'Nacionalidades '!$D$28</f>
        <v>3.6669070179037005E-2</v>
      </c>
      <c r="E8" s="253">
        <f>'Nacionalidades '!E8/'Nacionalidades '!$E$28</f>
        <v>3.8996283781367408E-2</v>
      </c>
      <c r="F8" s="251"/>
    </row>
    <row r="9" spans="3:6" ht="15">
      <c r="C9" s="37" t="s">
        <v>163</v>
      </c>
      <c r="D9" s="252">
        <f>'Nacionalidades '!D9/'Nacionalidades '!$D$28</f>
        <v>0.13266753926148028</v>
      </c>
      <c r="E9" s="253">
        <f>'Nacionalidades '!E9/'Nacionalidades '!$E$28</f>
        <v>0.13530836849112532</v>
      </c>
      <c r="F9" s="251"/>
    </row>
    <row r="10" spans="3:6">
      <c r="C10" s="229" t="s">
        <v>164</v>
      </c>
      <c r="D10" s="252">
        <f>'Nacionalidades '!D10/'Nacionalidades '!$D$28</f>
        <v>2.6205333260029731E-2</v>
      </c>
      <c r="E10" s="253">
        <f>'Nacionalidades '!E10/'Nacionalidades '!$E$28</f>
        <v>2.5276826102016689E-2</v>
      </c>
    </row>
    <row r="11" spans="3:6">
      <c r="C11" s="229" t="s">
        <v>165</v>
      </c>
      <c r="D11" s="252">
        <f>'Nacionalidades '!D11/'Nacionalidades '!$D$28</f>
        <v>0.33424434205434755</v>
      </c>
      <c r="E11" s="253">
        <f>'Nacionalidades '!E11/'Nacionalidades '!$E$28</f>
        <v>0.33226386889319626</v>
      </c>
    </row>
    <row r="12" spans="3:6">
      <c r="C12" s="229" t="s">
        <v>166</v>
      </c>
      <c r="D12" s="252">
        <f>'Nacionalidades '!D12/'Nacionalidades '!$D$28</f>
        <v>2.2946847134498721E-2</v>
      </c>
      <c r="E12" s="253">
        <f>'Nacionalidades '!E12/'Nacionalidades '!$E$28</f>
        <v>1.6004160693503411E-2</v>
      </c>
    </row>
    <row r="13" spans="3:6" ht="15">
      <c r="C13" s="229" t="s">
        <v>167</v>
      </c>
      <c r="D13" s="252">
        <f>'Nacionalidades '!D13/'Nacionalidades '!$D$28</f>
        <v>2.3778913513730682E-2</v>
      </c>
      <c r="E13" s="253">
        <f>'Nacionalidades '!E13/'Nacionalidades '!$E$28</f>
        <v>2.4134474594940343E-2</v>
      </c>
      <c r="F13" s="251"/>
    </row>
    <row r="14" spans="3:6" ht="15">
      <c r="C14" s="37" t="s">
        <v>168</v>
      </c>
      <c r="D14" s="252">
        <f>'Nacionalidades '!D14/'Nacionalidades '!$D$28</f>
        <v>5.3520793201372749E-2</v>
      </c>
      <c r="E14" s="253">
        <f>'Nacionalidades '!E14/'Nacionalidades '!$E$28</f>
        <v>4.6773061348771766E-2</v>
      </c>
      <c r="F14" s="251"/>
    </row>
    <row r="15" spans="3:6" ht="15">
      <c r="C15" s="230" t="s">
        <v>169</v>
      </c>
      <c r="D15" s="252">
        <f>'Nacionalidades '!D15/'Nacionalidades '!$D$28</f>
        <v>2.6219077685607894E-2</v>
      </c>
      <c r="E15" s="253">
        <f>'Nacionalidades '!E15/'Nacionalidades '!$E$28</f>
        <v>2.2094999095723537E-2</v>
      </c>
      <c r="F15" s="251"/>
    </row>
    <row r="16" spans="3:6" ht="15">
      <c r="C16" s="230" t="s">
        <v>170</v>
      </c>
      <c r="D16" s="252">
        <f>'Nacionalidades '!D16/'Nacionalidades '!$D$28</f>
        <v>1.4455963917711067E-2</v>
      </c>
      <c r="E16" s="253">
        <f>'Nacionalidades '!E16/'Nacionalidades '!$E$28</f>
        <v>1.2132631301453076E-2</v>
      </c>
      <c r="F16" s="251"/>
    </row>
    <row r="17" spans="2:12" ht="15">
      <c r="C17" s="230" t="s">
        <v>171</v>
      </c>
      <c r="D17" s="252">
        <f>'Nacionalidades '!D17/'Nacionalidades '!$D$28</f>
        <v>2.5053973301981947E-2</v>
      </c>
      <c r="E17" s="253">
        <f>'Nacionalidades '!E17/'Nacionalidades '!$E$28</f>
        <v>1.8190772701681748E-2</v>
      </c>
      <c r="F17" s="251"/>
    </row>
    <row r="18" spans="2:12" ht="15">
      <c r="C18" s="230" t="s">
        <v>172</v>
      </c>
      <c r="D18" s="252">
        <f>'Nacionalidades '!D18/'Nacionalidades '!$D$28</f>
        <v>1.284575159805379E-2</v>
      </c>
      <c r="E18" s="253">
        <f>'Nacionalidades '!E18/'Nacionalidades '!$E$28</f>
        <v>1.2545430951595153E-2</v>
      </c>
      <c r="F18" s="251"/>
    </row>
    <row r="19" spans="2:12">
      <c r="C19" s="37" t="s">
        <v>173</v>
      </c>
      <c r="D19" s="252">
        <f>'Nacionalidades '!D19/'Nacionalidades '!$D$28</f>
        <v>7.8121200459275271E-3</v>
      </c>
      <c r="E19" s="253">
        <f>'Nacionalidades '!E19/'Nacionalidades '!$E$28</f>
        <v>7.4978312691647859E-3</v>
      </c>
    </row>
    <row r="20" spans="2:12">
      <c r="C20" s="37" t="s">
        <v>174</v>
      </c>
      <c r="D20" s="252">
        <f>'Nacionalidades '!D20/'Nacionalidades '!$D$28</f>
        <v>6.5920379599889202E-3</v>
      </c>
      <c r="E20" s="253">
        <f>'Nacionalidades '!E20/'Nacionalidades '!$E$28</f>
        <v>8.2059257185421626E-3</v>
      </c>
    </row>
    <row r="21" spans="2:12">
      <c r="C21" s="37" t="s">
        <v>175</v>
      </c>
      <c r="D21" s="252">
        <f>'Nacionalidades '!D21/'Nacionalidades '!$D$28</f>
        <v>2.5188245767245553E-2</v>
      </c>
      <c r="E21" s="253">
        <f>'Nacionalidades '!E21/'Nacionalidades '!$E$28</f>
        <v>2.8232839438306376E-2</v>
      </c>
    </row>
    <row r="22" spans="2:12">
      <c r="C22" s="231" t="s">
        <v>176</v>
      </c>
      <c r="D22" s="252">
        <f>'Nacionalidades '!D22/'Nacionalidades '!$D$28</f>
        <v>3.1381695385467701E-2</v>
      </c>
      <c r="E22" s="253">
        <f>'Nacionalidades '!E22/'Nacionalidades '!$E$28</f>
        <v>2.734695504060048E-2</v>
      </c>
    </row>
    <row r="23" spans="2:12">
      <c r="C23" s="231" t="s">
        <v>177</v>
      </c>
      <c r="D23" s="252">
        <f>'Nacionalidades '!D23/'Nacionalidades '!$D$28</f>
        <v>2.3932216722102516E-2</v>
      </c>
      <c r="E23" s="253">
        <f>'Nacionalidades '!E23/'Nacionalidades '!$E$28</f>
        <v>2.426934972815508E-2</v>
      </c>
    </row>
    <row r="24" spans="2:12">
      <c r="C24" s="231" t="s">
        <v>178</v>
      </c>
      <c r="D24" s="252">
        <f>'Nacionalidades '!D24/'Nacionalidades '!$D$28</f>
        <v>1.9273913714610747E-3</v>
      </c>
      <c r="E24" s="253">
        <f>'Nacionalidades '!E24/'Nacionalidades '!$E$28</f>
        <v>1.9618201194871068E-3</v>
      </c>
    </row>
    <row r="25" spans="2:12">
      <c r="C25" s="231" t="s">
        <v>179</v>
      </c>
      <c r="D25" s="252">
        <f>'Nacionalidades '!D25/'Nacionalidades '!$D$28</f>
        <v>2.0637783637367075E-3</v>
      </c>
      <c r="E25" s="253">
        <f>'Nacionalidades '!E25/'Nacionalidades '!$E$28</f>
        <v>1.7186361671756841E-3</v>
      </c>
    </row>
    <row r="26" spans="2:12">
      <c r="C26" s="231" t="s">
        <v>180</v>
      </c>
      <c r="D26" s="252">
        <f>'Nacionalidades '!D26/'Nacionalidades '!$D$28</f>
        <v>4.1846489567980982E-3</v>
      </c>
      <c r="E26" s="253">
        <f>'Nacionalidades '!E26/'Nacionalidades '!$E$28</f>
        <v>6.9317644221877769E-3</v>
      </c>
    </row>
    <row r="27" spans="2:12">
      <c r="C27" s="232" t="s">
        <v>181</v>
      </c>
      <c r="D27" s="254">
        <f>'Nacionalidades '!D27/'Nacionalidades '!$D$28</f>
        <v>0.7959195972248948</v>
      </c>
      <c r="E27" s="255">
        <f>'Nacionalidades '!E27/'Nacionalidades '!$E$28</f>
        <v>0.77774417252573103</v>
      </c>
    </row>
    <row r="28" spans="2:12">
      <c r="C28" s="235" t="s">
        <v>107</v>
      </c>
      <c r="D28" s="256">
        <f>'Nacionalidades '!D28/'Nacionalidades '!$D$28</f>
        <v>1</v>
      </c>
      <c r="E28" s="257">
        <f>'Nacionalidades '!E28/'Nacionalidades '!$E$28</f>
        <v>1</v>
      </c>
    </row>
    <row r="29" spans="2:12" ht="22.5" customHeight="1">
      <c r="B29" s="12"/>
      <c r="C29" s="238" t="s">
        <v>186</v>
      </c>
      <c r="D29" s="239"/>
      <c r="E29" s="240"/>
      <c r="F29" s="12"/>
      <c r="G29" s="12"/>
      <c r="H29" s="12"/>
      <c r="I29" s="12"/>
      <c r="J29" s="12"/>
      <c r="K29" s="12"/>
      <c r="L29" s="12"/>
    </row>
  </sheetData>
  <mergeCells count="2">
    <mergeCell ref="C4:E4"/>
    <mergeCell ref="C29:E29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92">
    <tabColor theme="4" tint="-0.499984740745262"/>
    <pageSetUpPr autoPageBreaks="0" fitToPage="1"/>
  </sheetPr>
  <dimension ref="D6:N84"/>
  <sheetViews>
    <sheetView showGridLines="0" showRowColHeaders="0" showOutlineSymbols="0" zoomScaleNormal="100" workbookViewId="0">
      <selection activeCell="B25" sqref="B25"/>
    </sheetView>
  </sheetViews>
  <sheetFormatPr baseColWidth="10" defaultRowHeight="12.75"/>
  <cols>
    <col min="1" max="2" width="11.42578125" style="2"/>
    <col min="3" max="3" width="7.42578125" style="2" customWidth="1"/>
    <col min="4" max="5" width="10.7109375" style="2" customWidth="1"/>
    <col min="6" max="6" width="73.85546875" style="2" bestFit="1" customWidth="1"/>
    <col min="7" max="7" width="10.7109375" style="2" customWidth="1"/>
    <col min="8" max="258" width="11.42578125" style="2"/>
    <col min="259" max="259" width="7.42578125" style="2" customWidth="1"/>
    <col min="260" max="261" width="10.7109375" style="2" customWidth="1"/>
    <col min="262" max="262" width="73.85546875" style="2" bestFit="1" customWidth="1"/>
    <col min="263" max="263" width="10.7109375" style="2" customWidth="1"/>
    <col min="264" max="514" width="11.42578125" style="2"/>
    <col min="515" max="515" width="7.42578125" style="2" customWidth="1"/>
    <col min="516" max="517" width="10.7109375" style="2" customWidth="1"/>
    <col min="518" max="518" width="73.85546875" style="2" bestFit="1" customWidth="1"/>
    <col min="519" max="519" width="10.7109375" style="2" customWidth="1"/>
    <col min="520" max="770" width="11.42578125" style="2"/>
    <col min="771" max="771" width="7.42578125" style="2" customWidth="1"/>
    <col min="772" max="773" width="10.7109375" style="2" customWidth="1"/>
    <col min="774" max="774" width="73.85546875" style="2" bestFit="1" customWidth="1"/>
    <col min="775" max="775" width="10.7109375" style="2" customWidth="1"/>
    <col min="776" max="1026" width="11.42578125" style="2"/>
    <col min="1027" max="1027" width="7.42578125" style="2" customWidth="1"/>
    <col min="1028" max="1029" width="10.7109375" style="2" customWidth="1"/>
    <col min="1030" max="1030" width="73.85546875" style="2" bestFit="1" customWidth="1"/>
    <col min="1031" max="1031" width="10.7109375" style="2" customWidth="1"/>
    <col min="1032" max="1282" width="11.42578125" style="2"/>
    <col min="1283" max="1283" width="7.42578125" style="2" customWidth="1"/>
    <col min="1284" max="1285" width="10.7109375" style="2" customWidth="1"/>
    <col min="1286" max="1286" width="73.85546875" style="2" bestFit="1" customWidth="1"/>
    <col min="1287" max="1287" width="10.7109375" style="2" customWidth="1"/>
    <col min="1288" max="1538" width="11.42578125" style="2"/>
    <col min="1539" max="1539" width="7.42578125" style="2" customWidth="1"/>
    <col min="1540" max="1541" width="10.7109375" style="2" customWidth="1"/>
    <col min="1542" max="1542" width="73.85546875" style="2" bestFit="1" customWidth="1"/>
    <col min="1543" max="1543" width="10.7109375" style="2" customWidth="1"/>
    <col min="1544" max="1794" width="11.42578125" style="2"/>
    <col min="1795" max="1795" width="7.42578125" style="2" customWidth="1"/>
    <col min="1796" max="1797" width="10.7109375" style="2" customWidth="1"/>
    <col min="1798" max="1798" width="73.85546875" style="2" bestFit="1" customWidth="1"/>
    <col min="1799" max="1799" width="10.7109375" style="2" customWidth="1"/>
    <col min="1800" max="2050" width="11.42578125" style="2"/>
    <col min="2051" max="2051" width="7.42578125" style="2" customWidth="1"/>
    <col min="2052" max="2053" width="10.7109375" style="2" customWidth="1"/>
    <col min="2054" max="2054" width="73.85546875" style="2" bestFit="1" customWidth="1"/>
    <col min="2055" max="2055" width="10.7109375" style="2" customWidth="1"/>
    <col min="2056" max="2306" width="11.42578125" style="2"/>
    <col min="2307" max="2307" width="7.42578125" style="2" customWidth="1"/>
    <col min="2308" max="2309" width="10.7109375" style="2" customWidth="1"/>
    <col min="2310" max="2310" width="73.85546875" style="2" bestFit="1" customWidth="1"/>
    <col min="2311" max="2311" width="10.7109375" style="2" customWidth="1"/>
    <col min="2312" max="2562" width="11.42578125" style="2"/>
    <col min="2563" max="2563" width="7.42578125" style="2" customWidth="1"/>
    <col min="2564" max="2565" width="10.7109375" style="2" customWidth="1"/>
    <col min="2566" max="2566" width="73.85546875" style="2" bestFit="1" customWidth="1"/>
    <col min="2567" max="2567" width="10.7109375" style="2" customWidth="1"/>
    <col min="2568" max="2818" width="11.42578125" style="2"/>
    <col min="2819" max="2819" width="7.42578125" style="2" customWidth="1"/>
    <col min="2820" max="2821" width="10.7109375" style="2" customWidth="1"/>
    <col min="2822" max="2822" width="73.85546875" style="2" bestFit="1" customWidth="1"/>
    <col min="2823" max="2823" width="10.7109375" style="2" customWidth="1"/>
    <col min="2824" max="3074" width="11.42578125" style="2"/>
    <col min="3075" max="3075" width="7.42578125" style="2" customWidth="1"/>
    <col min="3076" max="3077" width="10.7109375" style="2" customWidth="1"/>
    <col min="3078" max="3078" width="73.85546875" style="2" bestFit="1" customWidth="1"/>
    <col min="3079" max="3079" width="10.7109375" style="2" customWidth="1"/>
    <col min="3080" max="3330" width="11.42578125" style="2"/>
    <col min="3331" max="3331" width="7.42578125" style="2" customWidth="1"/>
    <col min="3332" max="3333" width="10.7109375" style="2" customWidth="1"/>
    <col min="3334" max="3334" width="73.85546875" style="2" bestFit="1" customWidth="1"/>
    <col min="3335" max="3335" width="10.7109375" style="2" customWidth="1"/>
    <col min="3336" max="3586" width="11.42578125" style="2"/>
    <col min="3587" max="3587" width="7.42578125" style="2" customWidth="1"/>
    <col min="3588" max="3589" width="10.7109375" style="2" customWidth="1"/>
    <col min="3590" max="3590" width="73.85546875" style="2" bestFit="1" customWidth="1"/>
    <col min="3591" max="3591" width="10.7109375" style="2" customWidth="1"/>
    <col min="3592" max="3842" width="11.42578125" style="2"/>
    <col min="3843" max="3843" width="7.42578125" style="2" customWidth="1"/>
    <col min="3844" max="3845" width="10.7109375" style="2" customWidth="1"/>
    <col min="3846" max="3846" width="73.85546875" style="2" bestFit="1" customWidth="1"/>
    <col min="3847" max="3847" width="10.7109375" style="2" customWidth="1"/>
    <col min="3848" max="4098" width="11.42578125" style="2"/>
    <col min="4099" max="4099" width="7.42578125" style="2" customWidth="1"/>
    <col min="4100" max="4101" width="10.7109375" style="2" customWidth="1"/>
    <col min="4102" max="4102" width="73.85546875" style="2" bestFit="1" customWidth="1"/>
    <col min="4103" max="4103" width="10.7109375" style="2" customWidth="1"/>
    <col min="4104" max="4354" width="11.42578125" style="2"/>
    <col min="4355" max="4355" width="7.42578125" style="2" customWidth="1"/>
    <col min="4356" max="4357" width="10.7109375" style="2" customWidth="1"/>
    <col min="4358" max="4358" width="73.85546875" style="2" bestFit="1" customWidth="1"/>
    <col min="4359" max="4359" width="10.7109375" style="2" customWidth="1"/>
    <col min="4360" max="4610" width="11.42578125" style="2"/>
    <col min="4611" max="4611" width="7.42578125" style="2" customWidth="1"/>
    <col min="4612" max="4613" width="10.7109375" style="2" customWidth="1"/>
    <col min="4614" max="4614" width="73.85546875" style="2" bestFit="1" customWidth="1"/>
    <col min="4615" max="4615" width="10.7109375" style="2" customWidth="1"/>
    <col min="4616" max="4866" width="11.42578125" style="2"/>
    <col min="4867" max="4867" width="7.42578125" style="2" customWidth="1"/>
    <col min="4868" max="4869" width="10.7109375" style="2" customWidth="1"/>
    <col min="4870" max="4870" width="73.85546875" style="2" bestFit="1" customWidth="1"/>
    <col min="4871" max="4871" width="10.7109375" style="2" customWidth="1"/>
    <col min="4872" max="5122" width="11.42578125" style="2"/>
    <col min="5123" max="5123" width="7.42578125" style="2" customWidth="1"/>
    <col min="5124" max="5125" width="10.7109375" style="2" customWidth="1"/>
    <col min="5126" max="5126" width="73.85546875" style="2" bestFit="1" customWidth="1"/>
    <col min="5127" max="5127" width="10.7109375" style="2" customWidth="1"/>
    <col min="5128" max="5378" width="11.42578125" style="2"/>
    <col min="5379" max="5379" width="7.42578125" style="2" customWidth="1"/>
    <col min="5380" max="5381" width="10.7109375" style="2" customWidth="1"/>
    <col min="5382" max="5382" width="73.85546875" style="2" bestFit="1" customWidth="1"/>
    <col min="5383" max="5383" width="10.7109375" style="2" customWidth="1"/>
    <col min="5384" max="5634" width="11.42578125" style="2"/>
    <col min="5635" max="5635" width="7.42578125" style="2" customWidth="1"/>
    <col min="5636" max="5637" width="10.7109375" style="2" customWidth="1"/>
    <col min="5638" max="5638" width="73.85546875" style="2" bestFit="1" customWidth="1"/>
    <col min="5639" max="5639" width="10.7109375" style="2" customWidth="1"/>
    <col min="5640" max="5890" width="11.42578125" style="2"/>
    <col min="5891" max="5891" width="7.42578125" style="2" customWidth="1"/>
    <col min="5892" max="5893" width="10.7109375" style="2" customWidth="1"/>
    <col min="5894" max="5894" width="73.85546875" style="2" bestFit="1" customWidth="1"/>
    <col min="5895" max="5895" width="10.7109375" style="2" customWidth="1"/>
    <col min="5896" max="6146" width="11.42578125" style="2"/>
    <col min="6147" max="6147" width="7.42578125" style="2" customWidth="1"/>
    <col min="6148" max="6149" width="10.7109375" style="2" customWidth="1"/>
    <col min="6150" max="6150" width="73.85546875" style="2" bestFit="1" customWidth="1"/>
    <col min="6151" max="6151" width="10.7109375" style="2" customWidth="1"/>
    <col min="6152" max="6402" width="11.42578125" style="2"/>
    <col min="6403" max="6403" width="7.42578125" style="2" customWidth="1"/>
    <col min="6404" max="6405" width="10.7109375" style="2" customWidth="1"/>
    <col min="6406" max="6406" width="73.85546875" style="2" bestFit="1" customWidth="1"/>
    <col min="6407" max="6407" width="10.7109375" style="2" customWidth="1"/>
    <col min="6408" max="6658" width="11.42578125" style="2"/>
    <col min="6659" max="6659" width="7.42578125" style="2" customWidth="1"/>
    <col min="6660" max="6661" width="10.7109375" style="2" customWidth="1"/>
    <col min="6662" max="6662" width="73.85546875" style="2" bestFit="1" customWidth="1"/>
    <col min="6663" max="6663" width="10.7109375" style="2" customWidth="1"/>
    <col min="6664" max="6914" width="11.42578125" style="2"/>
    <col min="6915" max="6915" width="7.42578125" style="2" customWidth="1"/>
    <col min="6916" max="6917" width="10.7109375" style="2" customWidth="1"/>
    <col min="6918" max="6918" width="73.85546875" style="2" bestFit="1" customWidth="1"/>
    <col min="6919" max="6919" width="10.7109375" style="2" customWidth="1"/>
    <col min="6920" max="7170" width="11.42578125" style="2"/>
    <col min="7171" max="7171" width="7.42578125" style="2" customWidth="1"/>
    <col min="7172" max="7173" width="10.7109375" style="2" customWidth="1"/>
    <col min="7174" max="7174" width="73.85546875" style="2" bestFit="1" customWidth="1"/>
    <col min="7175" max="7175" width="10.7109375" style="2" customWidth="1"/>
    <col min="7176" max="7426" width="11.42578125" style="2"/>
    <col min="7427" max="7427" width="7.42578125" style="2" customWidth="1"/>
    <col min="7428" max="7429" width="10.7109375" style="2" customWidth="1"/>
    <col min="7430" max="7430" width="73.85546875" style="2" bestFit="1" customWidth="1"/>
    <col min="7431" max="7431" width="10.7109375" style="2" customWidth="1"/>
    <col min="7432" max="7682" width="11.42578125" style="2"/>
    <col min="7683" max="7683" width="7.42578125" style="2" customWidth="1"/>
    <col min="7684" max="7685" width="10.7109375" style="2" customWidth="1"/>
    <col min="7686" max="7686" width="73.85546875" style="2" bestFit="1" customWidth="1"/>
    <col min="7687" max="7687" width="10.7109375" style="2" customWidth="1"/>
    <col min="7688" max="7938" width="11.42578125" style="2"/>
    <col min="7939" max="7939" width="7.42578125" style="2" customWidth="1"/>
    <col min="7940" max="7941" width="10.7109375" style="2" customWidth="1"/>
    <col min="7942" max="7942" width="73.85546875" style="2" bestFit="1" customWidth="1"/>
    <col min="7943" max="7943" width="10.7109375" style="2" customWidth="1"/>
    <col min="7944" max="8194" width="11.42578125" style="2"/>
    <col min="8195" max="8195" width="7.42578125" style="2" customWidth="1"/>
    <col min="8196" max="8197" width="10.7109375" style="2" customWidth="1"/>
    <col min="8198" max="8198" width="73.85546875" style="2" bestFit="1" customWidth="1"/>
    <col min="8199" max="8199" width="10.7109375" style="2" customWidth="1"/>
    <col min="8200" max="8450" width="11.42578125" style="2"/>
    <col min="8451" max="8451" width="7.42578125" style="2" customWidth="1"/>
    <col min="8452" max="8453" width="10.7109375" style="2" customWidth="1"/>
    <col min="8454" max="8454" width="73.85546875" style="2" bestFit="1" customWidth="1"/>
    <col min="8455" max="8455" width="10.7109375" style="2" customWidth="1"/>
    <col min="8456" max="8706" width="11.42578125" style="2"/>
    <col min="8707" max="8707" width="7.42578125" style="2" customWidth="1"/>
    <col min="8708" max="8709" width="10.7109375" style="2" customWidth="1"/>
    <col min="8710" max="8710" width="73.85546875" style="2" bestFit="1" customWidth="1"/>
    <col min="8711" max="8711" width="10.7109375" style="2" customWidth="1"/>
    <col min="8712" max="8962" width="11.42578125" style="2"/>
    <col min="8963" max="8963" width="7.42578125" style="2" customWidth="1"/>
    <col min="8964" max="8965" width="10.7109375" style="2" customWidth="1"/>
    <col min="8966" max="8966" width="73.85546875" style="2" bestFit="1" customWidth="1"/>
    <col min="8967" max="8967" width="10.7109375" style="2" customWidth="1"/>
    <col min="8968" max="9218" width="11.42578125" style="2"/>
    <col min="9219" max="9219" width="7.42578125" style="2" customWidth="1"/>
    <col min="9220" max="9221" width="10.7109375" style="2" customWidth="1"/>
    <col min="9222" max="9222" width="73.85546875" style="2" bestFit="1" customWidth="1"/>
    <col min="9223" max="9223" width="10.7109375" style="2" customWidth="1"/>
    <col min="9224" max="9474" width="11.42578125" style="2"/>
    <col min="9475" max="9475" width="7.42578125" style="2" customWidth="1"/>
    <col min="9476" max="9477" width="10.7109375" style="2" customWidth="1"/>
    <col min="9478" max="9478" width="73.85546875" style="2" bestFit="1" customWidth="1"/>
    <col min="9479" max="9479" width="10.7109375" style="2" customWidth="1"/>
    <col min="9480" max="9730" width="11.42578125" style="2"/>
    <col min="9731" max="9731" width="7.42578125" style="2" customWidth="1"/>
    <col min="9732" max="9733" width="10.7109375" style="2" customWidth="1"/>
    <col min="9734" max="9734" width="73.85546875" style="2" bestFit="1" customWidth="1"/>
    <col min="9735" max="9735" width="10.7109375" style="2" customWidth="1"/>
    <col min="9736" max="9986" width="11.42578125" style="2"/>
    <col min="9987" max="9987" width="7.42578125" style="2" customWidth="1"/>
    <col min="9988" max="9989" width="10.7109375" style="2" customWidth="1"/>
    <col min="9990" max="9990" width="73.85546875" style="2" bestFit="1" customWidth="1"/>
    <col min="9991" max="9991" width="10.7109375" style="2" customWidth="1"/>
    <col min="9992" max="10242" width="11.42578125" style="2"/>
    <col min="10243" max="10243" width="7.42578125" style="2" customWidth="1"/>
    <col min="10244" max="10245" width="10.7109375" style="2" customWidth="1"/>
    <col min="10246" max="10246" width="73.85546875" style="2" bestFit="1" customWidth="1"/>
    <col min="10247" max="10247" width="10.7109375" style="2" customWidth="1"/>
    <col min="10248" max="10498" width="11.42578125" style="2"/>
    <col min="10499" max="10499" width="7.42578125" style="2" customWidth="1"/>
    <col min="10500" max="10501" width="10.7109375" style="2" customWidth="1"/>
    <col min="10502" max="10502" width="73.85546875" style="2" bestFit="1" customWidth="1"/>
    <col min="10503" max="10503" width="10.7109375" style="2" customWidth="1"/>
    <col min="10504" max="10754" width="11.42578125" style="2"/>
    <col min="10755" max="10755" width="7.42578125" style="2" customWidth="1"/>
    <col min="10756" max="10757" width="10.7109375" style="2" customWidth="1"/>
    <col min="10758" max="10758" width="73.85546875" style="2" bestFit="1" customWidth="1"/>
    <col min="10759" max="10759" width="10.7109375" style="2" customWidth="1"/>
    <col min="10760" max="11010" width="11.42578125" style="2"/>
    <col min="11011" max="11011" width="7.42578125" style="2" customWidth="1"/>
    <col min="11012" max="11013" width="10.7109375" style="2" customWidth="1"/>
    <col min="11014" max="11014" width="73.85546875" style="2" bestFit="1" customWidth="1"/>
    <col min="11015" max="11015" width="10.7109375" style="2" customWidth="1"/>
    <col min="11016" max="11266" width="11.42578125" style="2"/>
    <col min="11267" max="11267" width="7.42578125" style="2" customWidth="1"/>
    <col min="11268" max="11269" width="10.7109375" style="2" customWidth="1"/>
    <col min="11270" max="11270" width="73.85546875" style="2" bestFit="1" customWidth="1"/>
    <col min="11271" max="11271" width="10.7109375" style="2" customWidth="1"/>
    <col min="11272" max="11522" width="11.42578125" style="2"/>
    <col min="11523" max="11523" width="7.42578125" style="2" customWidth="1"/>
    <col min="11524" max="11525" width="10.7109375" style="2" customWidth="1"/>
    <col min="11526" max="11526" width="73.85546875" style="2" bestFit="1" customWidth="1"/>
    <col min="11527" max="11527" width="10.7109375" style="2" customWidth="1"/>
    <col min="11528" max="11778" width="11.42578125" style="2"/>
    <col min="11779" max="11779" width="7.42578125" style="2" customWidth="1"/>
    <col min="11780" max="11781" width="10.7109375" style="2" customWidth="1"/>
    <col min="11782" max="11782" width="73.85546875" style="2" bestFit="1" customWidth="1"/>
    <col min="11783" max="11783" width="10.7109375" style="2" customWidth="1"/>
    <col min="11784" max="12034" width="11.42578125" style="2"/>
    <col min="12035" max="12035" width="7.42578125" style="2" customWidth="1"/>
    <col min="12036" max="12037" width="10.7109375" style="2" customWidth="1"/>
    <col min="12038" max="12038" width="73.85546875" style="2" bestFit="1" customWidth="1"/>
    <col min="12039" max="12039" width="10.7109375" style="2" customWidth="1"/>
    <col min="12040" max="12290" width="11.42578125" style="2"/>
    <col min="12291" max="12291" width="7.42578125" style="2" customWidth="1"/>
    <col min="12292" max="12293" width="10.7109375" style="2" customWidth="1"/>
    <col min="12294" max="12294" width="73.85546875" style="2" bestFit="1" customWidth="1"/>
    <col min="12295" max="12295" width="10.7109375" style="2" customWidth="1"/>
    <col min="12296" max="12546" width="11.42578125" style="2"/>
    <col min="12547" max="12547" width="7.42578125" style="2" customWidth="1"/>
    <col min="12548" max="12549" width="10.7109375" style="2" customWidth="1"/>
    <col min="12550" max="12550" width="73.85546875" style="2" bestFit="1" customWidth="1"/>
    <col min="12551" max="12551" width="10.7109375" style="2" customWidth="1"/>
    <col min="12552" max="12802" width="11.42578125" style="2"/>
    <col min="12803" max="12803" width="7.42578125" style="2" customWidth="1"/>
    <col min="12804" max="12805" width="10.7109375" style="2" customWidth="1"/>
    <col min="12806" max="12806" width="73.85546875" style="2" bestFit="1" customWidth="1"/>
    <col min="12807" max="12807" width="10.7109375" style="2" customWidth="1"/>
    <col min="12808" max="13058" width="11.42578125" style="2"/>
    <col min="13059" max="13059" width="7.42578125" style="2" customWidth="1"/>
    <col min="13060" max="13061" width="10.7109375" style="2" customWidth="1"/>
    <col min="13062" max="13062" width="73.85546875" style="2" bestFit="1" customWidth="1"/>
    <col min="13063" max="13063" width="10.7109375" style="2" customWidth="1"/>
    <col min="13064" max="13314" width="11.42578125" style="2"/>
    <col min="13315" max="13315" width="7.42578125" style="2" customWidth="1"/>
    <col min="13316" max="13317" width="10.7109375" style="2" customWidth="1"/>
    <col min="13318" max="13318" width="73.85546875" style="2" bestFit="1" customWidth="1"/>
    <col min="13319" max="13319" width="10.7109375" style="2" customWidth="1"/>
    <col min="13320" max="13570" width="11.42578125" style="2"/>
    <col min="13571" max="13571" width="7.42578125" style="2" customWidth="1"/>
    <col min="13572" max="13573" width="10.7109375" style="2" customWidth="1"/>
    <col min="13574" max="13574" width="73.85546875" style="2" bestFit="1" customWidth="1"/>
    <col min="13575" max="13575" width="10.7109375" style="2" customWidth="1"/>
    <col min="13576" max="13826" width="11.42578125" style="2"/>
    <col min="13827" max="13827" width="7.42578125" style="2" customWidth="1"/>
    <col min="13828" max="13829" width="10.7109375" style="2" customWidth="1"/>
    <col min="13830" max="13830" width="73.85546875" style="2" bestFit="1" customWidth="1"/>
    <col min="13831" max="13831" width="10.7109375" style="2" customWidth="1"/>
    <col min="13832" max="14082" width="11.42578125" style="2"/>
    <col min="14083" max="14083" width="7.42578125" style="2" customWidth="1"/>
    <col min="14084" max="14085" width="10.7109375" style="2" customWidth="1"/>
    <col min="14086" max="14086" width="73.85546875" style="2" bestFit="1" customWidth="1"/>
    <col min="14087" max="14087" width="10.7109375" style="2" customWidth="1"/>
    <col min="14088" max="14338" width="11.42578125" style="2"/>
    <col min="14339" max="14339" width="7.42578125" style="2" customWidth="1"/>
    <col min="14340" max="14341" width="10.7109375" style="2" customWidth="1"/>
    <col min="14342" max="14342" width="73.85546875" style="2" bestFit="1" customWidth="1"/>
    <col min="14343" max="14343" width="10.7109375" style="2" customWidth="1"/>
    <col min="14344" max="14594" width="11.42578125" style="2"/>
    <col min="14595" max="14595" width="7.42578125" style="2" customWidth="1"/>
    <col min="14596" max="14597" width="10.7109375" style="2" customWidth="1"/>
    <col min="14598" max="14598" width="73.85546875" style="2" bestFit="1" customWidth="1"/>
    <col min="14599" max="14599" width="10.7109375" style="2" customWidth="1"/>
    <col min="14600" max="14850" width="11.42578125" style="2"/>
    <col min="14851" max="14851" width="7.42578125" style="2" customWidth="1"/>
    <col min="14852" max="14853" width="10.7109375" style="2" customWidth="1"/>
    <col min="14854" max="14854" width="73.85546875" style="2" bestFit="1" customWidth="1"/>
    <col min="14855" max="14855" width="10.7109375" style="2" customWidth="1"/>
    <col min="14856" max="15106" width="11.42578125" style="2"/>
    <col min="15107" max="15107" width="7.42578125" style="2" customWidth="1"/>
    <col min="15108" max="15109" width="10.7109375" style="2" customWidth="1"/>
    <col min="15110" max="15110" width="73.85546875" style="2" bestFit="1" customWidth="1"/>
    <col min="15111" max="15111" width="10.7109375" style="2" customWidth="1"/>
    <col min="15112" max="15362" width="11.42578125" style="2"/>
    <col min="15363" max="15363" width="7.42578125" style="2" customWidth="1"/>
    <col min="15364" max="15365" width="10.7109375" style="2" customWidth="1"/>
    <col min="15366" max="15366" width="73.85546875" style="2" bestFit="1" customWidth="1"/>
    <col min="15367" max="15367" width="10.7109375" style="2" customWidth="1"/>
    <col min="15368" max="15618" width="11.42578125" style="2"/>
    <col min="15619" max="15619" width="7.42578125" style="2" customWidth="1"/>
    <col min="15620" max="15621" width="10.7109375" style="2" customWidth="1"/>
    <col min="15622" max="15622" width="73.85546875" style="2" bestFit="1" customWidth="1"/>
    <col min="15623" max="15623" width="10.7109375" style="2" customWidth="1"/>
    <col min="15624" max="15874" width="11.42578125" style="2"/>
    <col min="15875" max="15875" width="7.42578125" style="2" customWidth="1"/>
    <col min="15876" max="15877" width="10.7109375" style="2" customWidth="1"/>
    <col min="15878" max="15878" width="73.85546875" style="2" bestFit="1" customWidth="1"/>
    <col min="15879" max="15879" width="10.7109375" style="2" customWidth="1"/>
    <col min="15880" max="16130" width="11.42578125" style="2"/>
    <col min="16131" max="16131" width="7.42578125" style="2" customWidth="1"/>
    <col min="16132" max="16133" width="10.7109375" style="2" customWidth="1"/>
    <col min="16134" max="16134" width="73.85546875" style="2" bestFit="1" customWidth="1"/>
    <col min="16135" max="16135" width="10.7109375" style="2" customWidth="1"/>
    <col min="16136" max="16384" width="11.42578125" style="2"/>
  </cols>
  <sheetData>
    <row r="6" spans="4:7" ht="30" customHeight="1">
      <c r="D6" s="14" t="s">
        <v>11</v>
      </c>
      <c r="E6" s="14"/>
      <c r="F6" s="14"/>
      <c r="G6" s="14"/>
    </row>
    <row r="7" spans="4:7" ht="15" customHeight="1">
      <c r="D7" s="15"/>
      <c r="E7" s="1"/>
      <c r="F7" s="1"/>
      <c r="G7" s="1"/>
    </row>
    <row r="8" spans="4:7" ht="24.95" customHeight="1">
      <c r="D8" s="15"/>
      <c r="E8" s="24" t="s">
        <v>19</v>
      </c>
      <c r="F8" s="25"/>
      <c r="G8" s="25"/>
    </row>
    <row r="9" spans="4:7" ht="15" customHeight="1">
      <c r="D9" s="15"/>
      <c r="E9" s="1"/>
      <c r="F9" s="1"/>
      <c r="G9" s="1"/>
    </row>
    <row r="10" spans="4:7" ht="15" customHeight="1">
      <c r="D10" s="1"/>
      <c r="E10" s="16" t="s">
        <v>10</v>
      </c>
      <c r="F10" s="6"/>
      <c r="G10" s="6"/>
    </row>
    <row r="11" spans="4:7" ht="20.100000000000001" customHeight="1">
      <c r="D11" s="1"/>
      <c r="E11" s="1"/>
      <c r="F11" s="17"/>
      <c r="G11" s="1"/>
    </row>
    <row r="12" spans="4:7" ht="20.100000000000001" customHeight="1">
      <c r="D12" s="1"/>
      <c r="E12" s="1"/>
      <c r="F12" s="18" t="s">
        <v>20</v>
      </c>
      <c r="G12" s="1"/>
    </row>
    <row r="13" spans="4:7" ht="20.100000000000001" customHeight="1">
      <c r="D13" s="1"/>
      <c r="E13" s="1"/>
      <c r="F13" s="18" t="s">
        <v>21</v>
      </c>
      <c r="G13" s="1"/>
    </row>
    <row r="14" spans="4:7" ht="20.100000000000001" customHeight="1">
      <c r="D14" s="1"/>
      <c r="E14" s="1"/>
      <c r="F14" s="17"/>
      <c r="G14" s="1"/>
    </row>
    <row r="15" spans="4:7" ht="20.100000000000001" customHeight="1">
      <c r="D15" s="1"/>
      <c r="E15" s="16" t="s">
        <v>17</v>
      </c>
      <c r="F15" s="6"/>
      <c r="G15" s="6"/>
    </row>
    <row r="16" spans="4:7" ht="20.100000000000001" customHeight="1">
      <c r="D16" s="1"/>
      <c r="E16" s="1"/>
      <c r="F16" s="17"/>
      <c r="G16" s="1"/>
    </row>
    <row r="17" spans="4:7" ht="20.100000000000001" customHeight="1">
      <c r="D17" s="1"/>
      <c r="E17" s="20"/>
      <c r="F17" s="19" t="s">
        <v>22</v>
      </c>
      <c r="G17" s="1"/>
    </row>
    <row r="18" spans="4:7" ht="20.100000000000001" customHeight="1">
      <c r="D18" s="1"/>
      <c r="E18" s="20"/>
      <c r="F18" s="20"/>
      <c r="G18" s="1"/>
    </row>
    <row r="19" spans="4:7" ht="20.100000000000001" customHeight="1">
      <c r="D19" s="15"/>
      <c r="E19" s="24" t="str">
        <f>actualizaciones!A2</f>
        <v xml:space="preserve">acumulado julio 2010 </v>
      </c>
      <c r="F19" s="25"/>
      <c r="G19" s="25"/>
    </row>
    <row r="20" spans="4:7" ht="20.100000000000001" customHeight="1">
      <c r="D20" s="15"/>
      <c r="E20" s="1"/>
      <c r="F20" s="1"/>
      <c r="G20" s="1"/>
    </row>
    <row r="21" spans="4:7" ht="15" customHeight="1">
      <c r="D21" s="1"/>
      <c r="E21" s="16" t="s">
        <v>10</v>
      </c>
      <c r="F21" s="6"/>
      <c r="G21" s="6"/>
    </row>
    <row r="22" spans="4:7" ht="15" customHeight="1">
      <c r="D22" s="1"/>
      <c r="E22" s="1"/>
      <c r="F22" s="17"/>
      <c r="G22" s="1"/>
    </row>
    <row r="23" spans="4:7" ht="24.95" customHeight="1">
      <c r="D23" s="1"/>
      <c r="E23" s="1"/>
      <c r="F23" s="18" t="s">
        <v>23</v>
      </c>
      <c r="G23" s="1"/>
    </row>
    <row r="24" spans="4:7" ht="15" customHeight="1">
      <c r="D24" s="1"/>
      <c r="E24" s="1"/>
      <c r="F24" s="18" t="s">
        <v>24</v>
      </c>
      <c r="G24" s="1"/>
    </row>
    <row r="25" spans="4:7" ht="15" customHeight="1">
      <c r="D25" s="1"/>
      <c r="E25" s="1"/>
      <c r="F25" s="17"/>
      <c r="G25" s="1"/>
    </row>
    <row r="26" spans="4:7" ht="20.100000000000001" customHeight="1">
      <c r="D26" s="21"/>
    </row>
    <row r="27" spans="4:7" ht="20.100000000000001" customHeight="1">
      <c r="D27" s="11" t="s">
        <v>8</v>
      </c>
      <c r="E27" s="11"/>
      <c r="F27" s="11"/>
      <c r="G27" s="11"/>
    </row>
    <row r="28" spans="4:7" ht="20.100000000000001" customHeight="1">
      <c r="D28" s="12"/>
      <c r="E28" s="12"/>
      <c r="F28" s="12"/>
      <c r="G28" s="12"/>
    </row>
    <row r="29" spans="4:7" ht="20.100000000000001" customHeight="1"/>
    <row r="30" spans="4:7" ht="15" customHeight="1"/>
    <row r="31" spans="4:7" ht="15" customHeight="1">
      <c r="E31" s="22"/>
      <c r="F31" s="23"/>
    </row>
    <row r="32" spans="4:7" ht="15" customHeight="1"/>
    <row r="33" spans="4:14" ht="15" customHeight="1">
      <c r="D33" s="21"/>
      <c r="H33" s="12"/>
      <c r="I33" s="12"/>
      <c r="J33" s="12"/>
      <c r="K33" s="12"/>
      <c r="L33" s="12"/>
      <c r="M33" s="12"/>
      <c r="N33" s="12"/>
    </row>
    <row r="34" spans="4:14" ht="15" customHeight="1"/>
    <row r="35" spans="4:14" ht="20.100000000000001" customHeight="1"/>
    <row r="36" spans="4:14" ht="15" customHeight="1"/>
    <row r="37" spans="4:14" ht="15" customHeight="1"/>
    <row r="38" spans="4:14" ht="15" customHeight="1">
      <c r="D38" s="21"/>
    </row>
    <row r="39" spans="4:14" ht="15" customHeight="1"/>
    <row r="40" spans="4:14" ht="15" customHeight="1"/>
    <row r="41" spans="4:14" ht="15" customHeight="1"/>
    <row r="42" spans="4:14" ht="15" customHeight="1"/>
    <row r="43" spans="4:14" ht="15" customHeight="1"/>
    <row r="44" spans="4:14" ht="15" customHeight="1"/>
    <row r="45" spans="4:14" ht="15" customHeight="1"/>
    <row r="46" spans="4:14" ht="15" customHeight="1"/>
    <row r="47" spans="4:14" ht="15" customHeight="1"/>
    <row r="48" spans="4:14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</sheetData>
  <mergeCells count="2">
    <mergeCell ref="D6:G6"/>
    <mergeCell ref="D27:G27"/>
  </mergeCells>
  <hyperlinks>
    <hyperlink ref="F13" location="'var evolu x tipolo'!A1" tooltip="Variación interanual" display="Variación interanual"/>
    <hyperlink ref="F17" location="'grafica evolución alo x tip'!A1" tooltip="Evolución anual" display="Evolución anual"/>
    <hyperlink ref="F12" location="'tab. Turistas alojados tip'!A1" tooltip="Evolución anual" display="Evolución anual"/>
    <hyperlink ref="F23" location="'Alojados tipología'!A1" tooltip="Tipología de establecimiento" display="Tipología de establecimiento"/>
    <hyperlink ref="F24" location="'tab.Evolución mensual tipología'!A1" tooltip="Evolución mensual " display="Evolución mensual 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K24"/>
  <sheetViews>
    <sheetView showGridLines="0" showRowColHeaders="0" zoomScaleNormal="100" workbookViewId="0">
      <selection activeCell="B25" sqref="B25"/>
    </sheetView>
  </sheetViews>
  <sheetFormatPr baseColWidth="10" defaultRowHeight="15"/>
  <cols>
    <col min="1" max="1" width="14.5703125" customWidth="1"/>
    <col min="2" max="2" width="14.85546875" customWidth="1"/>
  </cols>
  <sheetData>
    <row r="2" ht="43.5" customHeight="1"/>
    <row r="23" spans="11:11" ht="15.75" thickBot="1"/>
    <row r="24" spans="11:11" ht="30" customHeight="1" thickBot="1">
      <c r="K24" s="60" t="s">
        <v>51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B25" sqref="B25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60" t="s">
        <v>51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7:K34"/>
  <sheetViews>
    <sheetView showGridLines="0" showRowColHeaders="0" showOutlineSymbols="0" zoomScaleNormal="100" workbookViewId="0">
      <selection activeCell="B25" sqref="B25"/>
    </sheetView>
  </sheetViews>
  <sheetFormatPr baseColWidth="10" defaultRowHeight="12"/>
  <cols>
    <col min="1" max="1" width="11.42578125" style="261"/>
    <col min="2" max="2" width="20.140625" style="261" customWidth="1"/>
    <col min="3" max="3" width="8.7109375" style="261" customWidth="1"/>
    <col min="4" max="4" width="11.28515625" style="261" customWidth="1"/>
    <col min="5" max="5" width="9.85546875" style="261" bestFit="1" customWidth="1"/>
    <col min="6" max="6" width="11.5703125" style="261" bestFit="1" customWidth="1"/>
    <col min="7" max="8" width="9.85546875" style="261" bestFit="1" customWidth="1"/>
    <col min="9" max="9" width="15.140625" style="261" customWidth="1"/>
    <col min="10" max="256" width="11.42578125" style="261"/>
    <col min="257" max="257" width="15.85546875" style="261" bestFit="1" customWidth="1"/>
    <col min="258" max="258" width="8.7109375" style="261" customWidth="1"/>
    <col min="259" max="259" width="11.28515625" style="261" customWidth="1"/>
    <col min="260" max="264" width="9.7109375" style="261" bestFit="1" customWidth="1"/>
    <col min="265" max="265" width="15.140625" style="261" customWidth="1"/>
    <col min="266" max="512" width="11.42578125" style="261"/>
    <col min="513" max="513" width="15.85546875" style="261" bestFit="1" customWidth="1"/>
    <col min="514" max="514" width="8.7109375" style="261" customWidth="1"/>
    <col min="515" max="515" width="11.28515625" style="261" customWidth="1"/>
    <col min="516" max="520" width="9.7109375" style="261" bestFit="1" customWidth="1"/>
    <col min="521" max="521" width="15.140625" style="261" customWidth="1"/>
    <col min="522" max="768" width="11.42578125" style="261"/>
    <col min="769" max="769" width="15.85546875" style="261" bestFit="1" customWidth="1"/>
    <col min="770" max="770" width="8.7109375" style="261" customWidth="1"/>
    <col min="771" max="771" width="11.28515625" style="261" customWidth="1"/>
    <col min="772" max="776" width="9.7109375" style="261" bestFit="1" customWidth="1"/>
    <col min="777" max="777" width="15.140625" style="261" customWidth="1"/>
    <col min="778" max="1024" width="11.42578125" style="261"/>
    <col min="1025" max="1025" width="15.85546875" style="261" bestFit="1" customWidth="1"/>
    <col min="1026" max="1026" width="8.7109375" style="261" customWidth="1"/>
    <col min="1027" max="1027" width="11.28515625" style="261" customWidth="1"/>
    <col min="1028" max="1032" width="9.7109375" style="261" bestFit="1" customWidth="1"/>
    <col min="1033" max="1033" width="15.140625" style="261" customWidth="1"/>
    <col min="1034" max="1280" width="11.42578125" style="261"/>
    <col min="1281" max="1281" width="15.85546875" style="261" bestFit="1" customWidth="1"/>
    <col min="1282" max="1282" width="8.7109375" style="261" customWidth="1"/>
    <col min="1283" max="1283" width="11.28515625" style="261" customWidth="1"/>
    <col min="1284" max="1288" width="9.7109375" style="261" bestFit="1" customWidth="1"/>
    <col min="1289" max="1289" width="15.140625" style="261" customWidth="1"/>
    <col min="1290" max="1536" width="11.42578125" style="261"/>
    <col min="1537" max="1537" width="15.85546875" style="261" bestFit="1" customWidth="1"/>
    <col min="1538" max="1538" width="8.7109375" style="261" customWidth="1"/>
    <col min="1539" max="1539" width="11.28515625" style="261" customWidth="1"/>
    <col min="1540" max="1544" width="9.7109375" style="261" bestFit="1" customWidth="1"/>
    <col min="1545" max="1545" width="15.140625" style="261" customWidth="1"/>
    <col min="1546" max="1792" width="11.42578125" style="261"/>
    <col min="1793" max="1793" width="15.85546875" style="261" bestFit="1" customWidth="1"/>
    <col min="1794" max="1794" width="8.7109375" style="261" customWidth="1"/>
    <col min="1795" max="1795" width="11.28515625" style="261" customWidth="1"/>
    <col min="1796" max="1800" width="9.7109375" style="261" bestFit="1" customWidth="1"/>
    <col min="1801" max="1801" width="15.140625" style="261" customWidth="1"/>
    <col min="1802" max="2048" width="11.42578125" style="261"/>
    <col min="2049" max="2049" width="15.85546875" style="261" bestFit="1" customWidth="1"/>
    <col min="2050" max="2050" width="8.7109375" style="261" customWidth="1"/>
    <col min="2051" max="2051" width="11.28515625" style="261" customWidth="1"/>
    <col min="2052" max="2056" width="9.7109375" style="261" bestFit="1" customWidth="1"/>
    <col min="2057" max="2057" width="15.140625" style="261" customWidth="1"/>
    <col min="2058" max="2304" width="11.42578125" style="261"/>
    <col min="2305" max="2305" width="15.85546875" style="261" bestFit="1" customWidth="1"/>
    <col min="2306" max="2306" width="8.7109375" style="261" customWidth="1"/>
    <col min="2307" max="2307" width="11.28515625" style="261" customWidth="1"/>
    <col min="2308" max="2312" width="9.7109375" style="261" bestFit="1" customWidth="1"/>
    <col min="2313" max="2313" width="15.140625" style="261" customWidth="1"/>
    <col min="2314" max="2560" width="11.42578125" style="261"/>
    <col min="2561" max="2561" width="15.85546875" style="261" bestFit="1" customWidth="1"/>
    <col min="2562" max="2562" width="8.7109375" style="261" customWidth="1"/>
    <col min="2563" max="2563" width="11.28515625" style="261" customWidth="1"/>
    <col min="2564" max="2568" width="9.7109375" style="261" bestFit="1" customWidth="1"/>
    <col min="2569" max="2569" width="15.140625" style="261" customWidth="1"/>
    <col min="2570" max="2816" width="11.42578125" style="261"/>
    <col min="2817" max="2817" width="15.85546875" style="261" bestFit="1" customWidth="1"/>
    <col min="2818" max="2818" width="8.7109375" style="261" customWidth="1"/>
    <col min="2819" max="2819" width="11.28515625" style="261" customWidth="1"/>
    <col min="2820" max="2824" width="9.7109375" style="261" bestFit="1" customWidth="1"/>
    <col min="2825" max="2825" width="15.140625" style="261" customWidth="1"/>
    <col min="2826" max="3072" width="11.42578125" style="261"/>
    <col min="3073" max="3073" width="15.85546875" style="261" bestFit="1" customWidth="1"/>
    <col min="3074" max="3074" width="8.7109375" style="261" customWidth="1"/>
    <col min="3075" max="3075" width="11.28515625" style="261" customWidth="1"/>
    <col min="3076" max="3080" width="9.7109375" style="261" bestFit="1" customWidth="1"/>
    <col min="3081" max="3081" width="15.140625" style="261" customWidth="1"/>
    <col min="3082" max="3328" width="11.42578125" style="261"/>
    <col min="3329" max="3329" width="15.85546875" style="261" bestFit="1" customWidth="1"/>
    <col min="3330" max="3330" width="8.7109375" style="261" customWidth="1"/>
    <col min="3331" max="3331" width="11.28515625" style="261" customWidth="1"/>
    <col min="3332" max="3336" width="9.7109375" style="261" bestFit="1" customWidth="1"/>
    <col min="3337" max="3337" width="15.140625" style="261" customWidth="1"/>
    <col min="3338" max="3584" width="11.42578125" style="261"/>
    <col min="3585" max="3585" width="15.85546875" style="261" bestFit="1" customWidth="1"/>
    <col min="3586" max="3586" width="8.7109375" style="261" customWidth="1"/>
    <col min="3587" max="3587" width="11.28515625" style="261" customWidth="1"/>
    <col min="3588" max="3592" width="9.7109375" style="261" bestFit="1" customWidth="1"/>
    <col min="3593" max="3593" width="15.140625" style="261" customWidth="1"/>
    <col min="3594" max="3840" width="11.42578125" style="261"/>
    <col min="3841" max="3841" width="15.85546875" style="261" bestFit="1" customWidth="1"/>
    <col min="3842" max="3842" width="8.7109375" style="261" customWidth="1"/>
    <col min="3843" max="3843" width="11.28515625" style="261" customWidth="1"/>
    <col min="3844" max="3848" width="9.7109375" style="261" bestFit="1" customWidth="1"/>
    <col min="3849" max="3849" width="15.140625" style="261" customWidth="1"/>
    <col min="3850" max="4096" width="11.42578125" style="261"/>
    <col min="4097" max="4097" width="15.85546875" style="261" bestFit="1" customWidth="1"/>
    <col min="4098" max="4098" width="8.7109375" style="261" customWidth="1"/>
    <col min="4099" max="4099" width="11.28515625" style="261" customWidth="1"/>
    <col min="4100" max="4104" width="9.7109375" style="261" bestFit="1" customWidth="1"/>
    <col min="4105" max="4105" width="15.140625" style="261" customWidth="1"/>
    <col min="4106" max="4352" width="11.42578125" style="261"/>
    <col min="4353" max="4353" width="15.85546875" style="261" bestFit="1" customWidth="1"/>
    <col min="4354" max="4354" width="8.7109375" style="261" customWidth="1"/>
    <col min="4355" max="4355" width="11.28515625" style="261" customWidth="1"/>
    <col min="4356" max="4360" width="9.7109375" style="261" bestFit="1" customWidth="1"/>
    <col min="4361" max="4361" width="15.140625" style="261" customWidth="1"/>
    <col min="4362" max="4608" width="11.42578125" style="261"/>
    <col min="4609" max="4609" width="15.85546875" style="261" bestFit="1" customWidth="1"/>
    <col min="4610" max="4610" width="8.7109375" style="261" customWidth="1"/>
    <col min="4611" max="4611" width="11.28515625" style="261" customWidth="1"/>
    <col min="4612" max="4616" width="9.7109375" style="261" bestFit="1" customWidth="1"/>
    <col min="4617" max="4617" width="15.140625" style="261" customWidth="1"/>
    <col min="4618" max="4864" width="11.42578125" style="261"/>
    <col min="4865" max="4865" width="15.85546875" style="261" bestFit="1" customWidth="1"/>
    <col min="4866" max="4866" width="8.7109375" style="261" customWidth="1"/>
    <col min="4867" max="4867" width="11.28515625" style="261" customWidth="1"/>
    <col min="4868" max="4872" width="9.7109375" style="261" bestFit="1" customWidth="1"/>
    <col min="4873" max="4873" width="15.140625" style="261" customWidth="1"/>
    <col min="4874" max="5120" width="11.42578125" style="261"/>
    <col min="5121" max="5121" width="15.85546875" style="261" bestFit="1" customWidth="1"/>
    <col min="5122" max="5122" width="8.7109375" style="261" customWidth="1"/>
    <col min="5123" max="5123" width="11.28515625" style="261" customWidth="1"/>
    <col min="5124" max="5128" width="9.7109375" style="261" bestFit="1" customWidth="1"/>
    <col min="5129" max="5129" width="15.140625" style="261" customWidth="1"/>
    <col min="5130" max="5376" width="11.42578125" style="261"/>
    <col min="5377" max="5377" width="15.85546875" style="261" bestFit="1" customWidth="1"/>
    <col min="5378" max="5378" width="8.7109375" style="261" customWidth="1"/>
    <col min="5379" max="5379" width="11.28515625" style="261" customWidth="1"/>
    <col min="5380" max="5384" width="9.7109375" style="261" bestFit="1" customWidth="1"/>
    <col min="5385" max="5385" width="15.140625" style="261" customWidth="1"/>
    <col min="5386" max="5632" width="11.42578125" style="261"/>
    <col min="5633" max="5633" width="15.85546875" style="261" bestFit="1" customWidth="1"/>
    <col min="5634" max="5634" width="8.7109375" style="261" customWidth="1"/>
    <col min="5635" max="5635" width="11.28515625" style="261" customWidth="1"/>
    <col min="5636" max="5640" width="9.7109375" style="261" bestFit="1" customWidth="1"/>
    <col min="5641" max="5641" width="15.140625" style="261" customWidth="1"/>
    <col min="5642" max="5888" width="11.42578125" style="261"/>
    <col min="5889" max="5889" width="15.85546875" style="261" bestFit="1" customWidth="1"/>
    <col min="5890" max="5890" width="8.7109375" style="261" customWidth="1"/>
    <col min="5891" max="5891" width="11.28515625" style="261" customWidth="1"/>
    <col min="5892" max="5896" width="9.7109375" style="261" bestFit="1" customWidth="1"/>
    <col min="5897" max="5897" width="15.140625" style="261" customWidth="1"/>
    <col min="5898" max="6144" width="11.42578125" style="261"/>
    <col min="6145" max="6145" width="15.85546875" style="261" bestFit="1" customWidth="1"/>
    <col min="6146" max="6146" width="8.7109375" style="261" customWidth="1"/>
    <col min="6147" max="6147" width="11.28515625" style="261" customWidth="1"/>
    <col min="6148" max="6152" width="9.7109375" style="261" bestFit="1" customWidth="1"/>
    <col min="6153" max="6153" width="15.140625" style="261" customWidth="1"/>
    <col min="6154" max="6400" width="11.42578125" style="261"/>
    <col min="6401" max="6401" width="15.85546875" style="261" bestFit="1" customWidth="1"/>
    <col min="6402" max="6402" width="8.7109375" style="261" customWidth="1"/>
    <col min="6403" max="6403" width="11.28515625" style="261" customWidth="1"/>
    <col min="6404" max="6408" width="9.7109375" style="261" bestFit="1" customWidth="1"/>
    <col min="6409" max="6409" width="15.140625" style="261" customWidth="1"/>
    <col min="6410" max="6656" width="11.42578125" style="261"/>
    <col min="6657" max="6657" width="15.85546875" style="261" bestFit="1" customWidth="1"/>
    <col min="6658" max="6658" width="8.7109375" style="261" customWidth="1"/>
    <col min="6659" max="6659" width="11.28515625" style="261" customWidth="1"/>
    <col min="6660" max="6664" width="9.7109375" style="261" bestFit="1" customWidth="1"/>
    <col min="6665" max="6665" width="15.140625" style="261" customWidth="1"/>
    <col min="6666" max="6912" width="11.42578125" style="261"/>
    <col min="6913" max="6913" width="15.85546875" style="261" bestFit="1" customWidth="1"/>
    <col min="6914" max="6914" width="8.7109375" style="261" customWidth="1"/>
    <col min="6915" max="6915" width="11.28515625" style="261" customWidth="1"/>
    <col min="6916" max="6920" width="9.7109375" style="261" bestFit="1" customWidth="1"/>
    <col min="6921" max="6921" width="15.140625" style="261" customWidth="1"/>
    <col min="6922" max="7168" width="11.42578125" style="261"/>
    <col min="7169" max="7169" width="15.85546875" style="261" bestFit="1" customWidth="1"/>
    <col min="7170" max="7170" width="8.7109375" style="261" customWidth="1"/>
    <col min="7171" max="7171" width="11.28515625" style="261" customWidth="1"/>
    <col min="7172" max="7176" width="9.7109375" style="261" bestFit="1" customWidth="1"/>
    <col min="7177" max="7177" width="15.140625" style="261" customWidth="1"/>
    <col min="7178" max="7424" width="11.42578125" style="261"/>
    <col min="7425" max="7425" width="15.85546875" style="261" bestFit="1" customWidth="1"/>
    <col min="7426" max="7426" width="8.7109375" style="261" customWidth="1"/>
    <col min="7427" max="7427" width="11.28515625" style="261" customWidth="1"/>
    <col min="7428" max="7432" width="9.7109375" style="261" bestFit="1" customWidth="1"/>
    <col min="7433" max="7433" width="15.140625" style="261" customWidth="1"/>
    <col min="7434" max="7680" width="11.42578125" style="261"/>
    <col min="7681" max="7681" width="15.85546875" style="261" bestFit="1" customWidth="1"/>
    <col min="7682" max="7682" width="8.7109375" style="261" customWidth="1"/>
    <col min="7683" max="7683" width="11.28515625" style="261" customWidth="1"/>
    <col min="7684" max="7688" width="9.7109375" style="261" bestFit="1" customWidth="1"/>
    <col min="7689" max="7689" width="15.140625" style="261" customWidth="1"/>
    <col min="7690" max="7936" width="11.42578125" style="261"/>
    <col min="7937" max="7937" width="15.85546875" style="261" bestFit="1" customWidth="1"/>
    <col min="7938" max="7938" width="8.7109375" style="261" customWidth="1"/>
    <col min="7939" max="7939" width="11.28515625" style="261" customWidth="1"/>
    <col min="7940" max="7944" width="9.7109375" style="261" bestFit="1" customWidth="1"/>
    <col min="7945" max="7945" width="15.140625" style="261" customWidth="1"/>
    <col min="7946" max="8192" width="11.42578125" style="261"/>
    <col min="8193" max="8193" width="15.85546875" style="261" bestFit="1" customWidth="1"/>
    <col min="8194" max="8194" width="8.7109375" style="261" customWidth="1"/>
    <col min="8195" max="8195" width="11.28515625" style="261" customWidth="1"/>
    <col min="8196" max="8200" width="9.7109375" style="261" bestFit="1" customWidth="1"/>
    <col min="8201" max="8201" width="15.140625" style="261" customWidth="1"/>
    <col min="8202" max="8448" width="11.42578125" style="261"/>
    <col min="8449" max="8449" width="15.85546875" style="261" bestFit="1" customWidth="1"/>
    <col min="8450" max="8450" width="8.7109375" style="261" customWidth="1"/>
    <col min="8451" max="8451" width="11.28515625" style="261" customWidth="1"/>
    <col min="8452" max="8456" width="9.7109375" style="261" bestFit="1" customWidth="1"/>
    <col min="8457" max="8457" width="15.140625" style="261" customWidth="1"/>
    <col min="8458" max="8704" width="11.42578125" style="261"/>
    <col min="8705" max="8705" width="15.85546875" style="261" bestFit="1" customWidth="1"/>
    <col min="8706" max="8706" width="8.7109375" style="261" customWidth="1"/>
    <col min="8707" max="8707" width="11.28515625" style="261" customWidth="1"/>
    <col min="8708" max="8712" width="9.7109375" style="261" bestFit="1" customWidth="1"/>
    <col min="8713" max="8713" width="15.140625" style="261" customWidth="1"/>
    <col min="8714" max="8960" width="11.42578125" style="261"/>
    <col min="8961" max="8961" width="15.85546875" style="261" bestFit="1" customWidth="1"/>
    <col min="8962" max="8962" width="8.7109375" style="261" customWidth="1"/>
    <col min="8963" max="8963" width="11.28515625" style="261" customWidth="1"/>
    <col min="8964" max="8968" width="9.7109375" style="261" bestFit="1" customWidth="1"/>
    <col min="8969" max="8969" width="15.140625" style="261" customWidth="1"/>
    <col min="8970" max="9216" width="11.42578125" style="261"/>
    <col min="9217" max="9217" width="15.85546875" style="261" bestFit="1" customWidth="1"/>
    <col min="9218" max="9218" width="8.7109375" style="261" customWidth="1"/>
    <col min="9219" max="9219" width="11.28515625" style="261" customWidth="1"/>
    <col min="9220" max="9224" width="9.7109375" style="261" bestFit="1" customWidth="1"/>
    <col min="9225" max="9225" width="15.140625" style="261" customWidth="1"/>
    <col min="9226" max="9472" width="11.42578125" style="261"/>
    <col min="9473" max="9473" width="15.85546875" style="261" bestFit="1" customWidth="1"/>
    <col min="9474" max="9474" width="8.7109375" style="261" customWidth="1"/>
    <col min="9475" max="9475" width="11.28515625" style="261" customWidth="1"/>
    <col min="9476" max="9480" width="9.7109375" style="261" bestFit="1" customWidth="1"/>
    <col min="9481" max="9481" width="15.140625" style="261" customWidth="1"/>
    <col min="9482" max="9728" width="11.42578125" style="261"/>
    <col min="9729" max="9729" width="15.85546875" style="261" bestFit="1" customWidth="1"/>
    <col min="9730" max="9730" width="8.7109375" style="261" customWidth="1"/>
    <col min="9731" max="9731" width="11.28515625" style="261" customWidth="1"/>
    <col min="9732" max="9736" width="9.7109375" style="261" bestFit="1" customWidth="1"/>
    <col min="9737" max="9737" width="15.140625" style="261" customWidth="1"/>
    <col min="9738" max="9984" width="11.42578125" style="261"/>
    <col min="9985" max="9985" width="15.85546875" style="261" bestFit="1" customWidth="1"/>
    <col min="9986" max="9986" width="8.7109375" style="261" customWidth="1"/>
    <col min="9987" max="9987" width="11.28515625" style="261" customWidth="1"/>
    <col min="9988" max="9992" width="9.7109375" style="261" bestFit="1" customWidth="1"/>
    <col min="9993" max="9993" width="15.140625" style="261" customWidth="1"/>
    <col min="9994" max="10240" width="11.42578125" style="261"/>
    <col min="10241" max="10241" width="15.85546875" style="261" bestFit="1" customWidth="1"/>
    <col min="10242" max="10242" width="8.7109375" style="261" customWidth="1"/>
    <col min="10243" max="10243" width="11.28515625" style="261" customWidth="1"/>
    <col min="10244" max="10248" width="9.7109375" style="261" bestFit="1" customWidth="1"/>
    <col min="10249" max="10249" width="15.140625" style="261" customWidth="1"/>
    <col min="10250" max="10496" width="11.42578125" style="261"/>
    <col min="10497" max="10497" width="15.85546875" style="261" bestFit="1" customWidth="1"/>
    <col min="10498" max="10498" width="8.7109375" style="261" customWidth="1"/>
    <col min="10499" max="10499" width="11.28515625" style="261" customWidth="1"/>
    <col min="10500" max="10504" width="9.7109375" style="261" bestFit="1" customWidth="1"/>
    <col min="10505" max="10505" width="15.140625" style="261" customWidth="1"/>
    <col min="10506" max="10752" width="11.42578125" style="261"/>
    <col min="10753" max="10753" width="15.85546875" style="261" bestFit="1" customWidth="1"/>
    <col min="10754" max="10754" width="8.7109375" style="261" customWidth="1"/>
    <col min="10755" max="10755" width="11.28515625" style="261" customWidth="1"/>
    <col min="10756" max="10760" width="9.7109375" style="261" bestFit="1" customWidth="1"/>
    <col min="10761" max="10761" width="15.140625" style="261" customWidth="1"/>
    <col min="10762" max="11008" width="11.42578125" style="261"/>
    <col min="11009" max="11009" width="15.85546875" style="261" bestFit="1" customWidth="1"/>
    <col min="11010" max="11010" width="8.7109375" style="261" customWidth="1"/>
    <col min="11011" max="11011" width="11.28515625" style="261" customWidth="1"/>
    <col min="11012" max="11016" width="9.7109375" style="261" bestFit="1" customWidth="1"/>
    <col min="11017" max="11017" width="15.140625" style="261" customWidth="1"/>
    <col min="11018" max="11264" width="11.42578125" style="261"/>
    <col min="11265" max="11265" width="15.85546875" style="261" bestFit="1" customWidth="1"/>
    <col min="11266" max="11266" width="8.7109375" style="261" customWidth="1"/>
    <col min="11267" max="11267" width="11.28515625" style="261" customWidth="1"/>
    <col min="11268" max="11272" width="9.7109375" style="261" bestFit="1" customWidth="1"/>
    <col min="11273" max="11273" width="15.140625" style="261" customWidth="1"/>
    <col min="11274" max="11520" width="11.42578125" style="261"/>
    <col min="11521" max="11521" width="15.85546875" style="261" bestFit="1" customWidth="1"/>
    <col min="11522" max="11522" width="8.7109375" style="261" customWidth="1"/>
    <col min="11523" max="11523" width="11.28515625" style="261" customWidth="1"/>
    <col min="11524" max="11528" width="9.7109375" style="261" bestFit="1" customWidth="1"/>
    <col min="11529" max="11529" width="15.140625" style="261" customWidth="1"/>
    <col min="11530" max="11776" width="11.42578125" style="261"/>
    <col min="11777" max="11777" width="15.85546875" style="261" bestFit="1" customWidth="1"/>
    <col min="11778" max="11778" width="8.7109375" style="261" customWidth="1"/>
    <col min="11779" max="11779" width="11.28515625" style="261" customWidth="1"/>
    <col min="11780" max="11784" width="9.7109375" style="261" bestFit="1" customWidth="1"/>
    <col min="11785" max="11785" width="15.140625" style="261" customWidth="1"/>
    <col min="11786" max="12032" width="11.42578125" style="261"/>
    <col min="12033" max="12033" width="15.85546875" style="261" bestFit="1" customWidth="1"/>
    <col min="12034" max="12034" width="8.7109375" style="261" customWidth="1"/>
    <col min="12035" max="12035" width="11.28515625" style="261" customWidth="1"/>
    <col min="12036" max="12040" width="9.7109375" style="261" bestFit="1" customWidth="1"/>
    <col min="12041" max="12041" width="15.140625" style="261" customWidth="1"/>
    <col min="12042" max="12288" width="11.42578125" style="261"/>
    <col min="12289" max="12289" width="15.85546875" style="261" bestFit="1" customWidth="1"/>
    <col min="12290" max="12290" width="8.7109375" style="261" customWidth="1"/>
    <col min="12291" max="12291" width="11.28515625" style="261" customWidth="1"/>
    <col min="12292" max="12296" width="9.7109375" style="261" bestFit="1" customWidth="1"/>
    <col min="12297" max="12297" width="15.140625" style="261" customWidth="1"/>
    <col min="12298" max="12544" width="11.42578125" style="261"/>
    <col min="12545" max="12545" width="15.85546875" style="261" bestFit="1" customWidth="1"/>
    <col min="12546" max="12546" width="8.7109375" style="261" customWidth="1"/>
    <col min="12547" max="12547" width="11.28515625" style="261" customWidth="1"/>
    <col min="12548" max="12552" width="9.7109375" style="261" bestFit="1" customWidth="1"/>
    <col min="12553" max="12553" width="15.140625" style="261" customWidth="1"/>
    <col min="12554" max="12800" width="11.42578125" style="261"/>
    <col min="12801" max="12801" width="15.85546875" style="261" bestFit="1" customWidth="1"/>
    <col min="12802" max="12802" width="8.7109375" style="261" customWidth="1"/>
    <col min="12803" max="12803" width="11.28515625" style="261" customWidth="1"/>
    <col min="12804" max="12808" width="9.7109375" style="261" bestFit="1" customWidth="1"/>
    <col min="12809" max="12809" width="15.140625" style="261" customWidth="1"/>
    <col min="12810" max="13056" width="11.42578125" style="261"/>
    <col min="13057" max="13057" width="15.85546875" style="261" bestFit="1" customWidth="1"/>
    <col min="13058" max="13058" width="8.7109375" style="261" customWidth="1"/>
    <col min="13059" max="13059" width="11.28515625" style="261" customWidth="1"/>
    <col min="13060" max="13064" width="9.7109375" style="261" bestFit="1" customWidth="1"/>
    <col min="13065" max="13065" width="15.140625" style="261" customWidth="1"/>
    <col min="13066" max="13312" width="11.42578125" style="261"/>
    <col min="13313" max="13313" width="15.85546875" style="261" bestFit="1" customWidth="1"/>
    <col min="13314" max="13314" width="8.7109375" style="261" customWidth="1"/>
    <col min="13315" max="13315" width="11.28515625" style="261" customWidth="1"/>
    <col min="13316" max="13320" width="9.7109375" style="261" bestFit="1" customWidth="1"/>
    <col min="13321" max="13321" width="15.140625" style="261" customWidth="1"/>
    <col min="13322" max="13568" width="11.42578125" style="261"/>
    <col min="13569" max="13569" width="15.85546875" style="261" bestFit="1" customWidth="1"/>
    <col min="13570" max="13570" width="8.7109375" style="261" customWidth="1"/>
    <col min="13571" max="13571" width="11.28515625" style="261" customWidth="1"/>
    <col min="13572" max="13576" width="9.7109375" style="261" bestFit="1" customWidth="1"/>
    <col min="13577" max="13577" width="15.140625" style="261" customWidth="1"/>
    <col min="13578" max="13824" width="11.42578125" style="261"/>
    <col min="13825" max="13825" width="15.85546875" style="261" bestFit="1" customWidth="1"/>
    <col min="13826" max="13826" width="8.7109375" style="261" customWidth="1"/>
    <col min="13827" max="13827" width="11.28515625" style="261" customWidth="1"/>
    <col min="13828" max="13832" width="9.7109375" style="261" bestFit="1" customWidth="1"/>
    <col min="13833" max="13833" width="15.140625" style="261" customWidth="1"/>
    <col min="13834" max="14080" width="11.42578125" style="261"/>
    <col min="14081" max="14081" width="15.85546875" style="261" bestFit="1" customWidth="1"/>
    <col min="14082" max="14082" width="8.7109375" style="261" customWidth="1"/>
    <col min="14083" max="14083" width="11.28515625" style="261" customWidth="1"/>
    <col min="14084" max="14088" width="9.7109375" style="261" bestFit="1" customWidth="1"/>
    <col min="14089" max="14089" width="15.140625" style="261" customWidth="1"/>
    <col min="14090" max="14336" width="11.42578125" style="261"/>
    <col min="14337" max="14337" width="15.85546875" style="261" bestFit="1" customWidth="1"/>
    <col min="14338" max="14338" width="8.7109375" style="261" customWidth="1"/>
    <col min="14339" max="14339" width="11.28515625" style="261" customWidth="1"/>
    <col min="14340" max="14344" width="9.7109375" style="261" bestFit="1" customWidth="1"/>
    <col min="14345" max="14345" width="15.140625" style="261" customWidth="1"/>
    <col min="14346" max="14592" width="11.42578125" style="261"/>
    <col min="14593" max="14593" width="15.85546875" style="261" bestFit="1" customWidth="1"/>
    <col min="14594" max="14594" width="8.7109375" style="261" customWidth="1"/>
    <col min="14595" max="14595" width="11.28515625" style="261" customWidth="1"/>
    <col min="14596" max="14600" width="9.7109375" style="261" bestFit="1" customWidth="1"/>
    <col min="14601" max="14601" width="15.140625" style="261" customWidth="1"/>
    <col min="14602" max="14848" width="11.42578125" style="261"/>
    <col min="14849" max="14849" width="15.85546875" style="261" bestFit="1" customWidth="1"/>
    <col min="14850" max="14850" width="8.7109375" style="261" customWidth="1"/>
    <col min="14851" max="14851" width="11.28515625" style="261" customWidth="1"/>
    <col min="14852" max="14856" width="9.7109375" style="261" bestFit="1" customWidth="1"/>
    <col min="14857" max="14857" width="15.140625" style="261" customWidth="1"/>
    <col min="14858" max="15104" width="11.42578125" style="261"/>
    <col min="15105" max="15105" width="15.85546875" style="261" bestFit="1" customWidth="1"/>
    <col min="15106" max="15106" width="8.7109375" style="261" customWidth="1"/>
    <col min="15107" max="15107" width="11.28515625" style="261" customWidth="1"/>
    <col min="15108" max="15112" width="9.7109375" style="261" bestFit="1" customWidth="1"/>
    <col min="15113" max="15113" width="15.140625" style="261" customWidth="1"/>
    <col min="15114" max="15360" width="11.42578125" style="261"/>
    <col min="15361" max="15361" width="15.85546875" style="261" bestFit="1" customWidth="1"/>
    <col min="15362" max="15362" width="8.7109375" style="261" customWidth="1"/>
    <col min="15363" max="15363" width="11.28515625" style="261" customWidth="1"/>
    <col min="15364" max="15368" width="9.7109375" style="261" bestFit="1" customWidth="1"/>
    <col min="15369" max="15369" width="15.140625" style="261" customWidth="1"/>
    <col min="15370" max="15616" width="11.42578125" style="261"/>
    <col min="15617" max="15617" width="15.85546875" style="261" bestFit="1" customWidth="1"/>
    <col min="15618" max="15618" width="8.7109375" style="261" customWidth="1"/>
    <col min="15619" max="15619" width="11.28515625" style="261" customWidth="1"/>
    <col min="15620" max="15624" width="9.7109375" style="261" bestFit="1" customWidth="1"/>
    <col min="15625" max="15625" width="15.140625" style="261" customWidth="1"/>
    <col min="15626" max="15872" width="11.42578125" style="261"/>
    <col min="15873" max="15873" width="15.85546875" style="261" bestFit="1" customWidth="1"/>
    <col min="15874" max="15874" width="8.7109375" style="261" customWidth="1"/>
    <col min="15875" max="15875" width="11.28515625" style="261" customWidth="1"/>
    <col min="15876" max="15880" width="9.7109375" style="261" bestFit="1" customWidth="1"/>
    <col min="15881" max="15881" width="15.140625" style="261" customWidth="1"/>
    <col min="15882" max="16128" width="11.42578125" style="261"/>
    <col min="16129" max="16129" width="15.85546875" style="261" bestFit="1" customWidth="1"/>
    <col min="16130" max="16130" width="8.7109375" style="261" customWidth="1"/>
    <col min="16131" max="16131" width="11.28515625" style="261" customWidth="1"/>
    <col min="16132" max="16136" width="9.7109375" style="261" bestFit="1" customWidth="1"/>
    <col min="16137" max="16137" width="15.140625" style="261" customWidth="1"/>
    <col min="16138" max="16384" width="11.42578125" style="261"/>
  </cols>
  <sheetData>
    <row r="7" spans="2:9" ht="30" customHeight="1">
      <c r="B7" s="258" t="s">
        <v>187</v>
      </c>
      <c r="C7" s="259"/>
      <c r="D7" s="259"/>
      <c r="E7" s="259"/>
      <c r="F7" s="259"/>
      <c r="G7" s="259"/>
      <c r="H7" s="259"/>
      <c r="I7" s="260"/>
    </row>
    <row r="8" spans="2:9" ht="12.75">
      <c r="B8" s="262" t="str">
        <f>actualizaciones!A2</f>
        <v xml:space="preserve">acumulado julio 2010 </v>
      </c>
      <c r="C8" s="263"/>
      <c r="D8" s="263"/>
      <c r="E8" s="263"/>
      <c r="F8" s="263"/>
      <c r="G8" s="263"/>
      <c r="H8" s="263"/>
      <c r="I8" s="264"/>
    </row>
    <row r="9" spans="2:9" ht="13.5" customHeight="1">
      <c r="B9" s="265" t="s">
        <v>158</v>
      </c>
      <c r="C9" s="266" t="s">
        <v>93</v>
      </c>
      <c r="D9" s="266" t="s">
        <v>188</v>
      </c>
      <c r="E9" s="266"/>
      <c r="F9" s="266"/>
      <c r="G9" s="266"/>
      <c r="H9" s="266"/>
      <c r="I9" s="267" t="s">
        <v>189</v>
      </c>
    </row>
    <row r="10" spans="2:9" ht="22.5" customHeight="1">
      <c r="B10" s="265"/>
      <c r="C10" s="268"/>
      <c r="D10" s="269" t="s">
        <v>190</v>
      </c>
      <c r="E10" s="269" t="s">
        <v>191</v>
      </c>
      <c r="F10" s="269" t="s">
        <v>192</v>
      </c>
      <c r="G10" s="269" t="s">
        <v>193</v>
      </c>
      <c r="H10" s="269" t="s">
        <v>194</v>
      </c>
      <c r="I10" s="270"/>
    </row>
    <row r="11" spans="2:9" ht="12.75">
      <c r="B11" s="271" t="s">
        <v>159</v>
      </c>
      <c r="C11" s="272">
        <f>GETPIVOTDATA("dato",'[1]tabla dinámica nacionalidad-cat'!$A$4,"indicador","España","categoría","TOTAL","año",2010)</f>
        <v>217518</v>
      </c>
      <c r="D11" s="272">
        <f>GETPIVOTDATA("dato",'[1]tabla dinámica nacionalidad-cat'!$A$4,"indicador","España","categoría","HOTELEROS","año",2010)</f>
        <v>160123</v>
      </c>
      <c r="E11" s="272">
        <f>GETPIVOTDATA("dato",'[1]tabla dinámica nacionalidad-cat'!$A$4,"indicador","España","categoría","5 *","año",2010)</f>
        <v>19172</v>
      </c>
      <c r="F11" s="272">
        <f>GETPIVOTDATA("dato",'[1]tabla dinámica nacionalidad-cat'!$A$4,"indicador","España","categoría","4 *","año",2010)</f>
        <v>101704</v>
      </c>
      <c r="G11" s="272">
        <f>GETPIVOTDATA("dato",'[1]tabla dinámica nacionalidad-cat'!$A$4,"indicador","España","categoría","3 *","año",2010)</f>
        <v>37557</v>
      </c>
      <c r="H11" s="272">
        <f>GETPIVOTDATA("dato",'[1]tabla dinámica nacionalidad-cat'!$A$4,"indicador","España","categoría","1* Y 2 *","año",2010)</f>
        <v>1690</v>
      </c>
      <c r="I11" s="272">
        <f>GETPIVOTDATA("dato",'[1]tabla dinámica nacionalidad-cat'!$A$4,"indicador","España","categoría","EXTRAHOTELEROS","año",2010)</f>
        <v>57395</v>
      </c>
    </row>
    <row r="12" spans="2:9" ht="12.75">
      <c r="B12" s="273" t="s">
        <v>161</v>
      </c>
      <c r="C12" s="274">
        <f>GETPIVOTDATA("dato",'[1]tabla dinámica nacionalidad-cat'!$A$4,"indicador","HOLANDA","categoría","TOTAL","año",2010)</f>
        <v>33893</v>
      </c>
      <c r="D12" s="274">
        <f>GETPIVOTDATA("dato",'[1]tabla dinámica nacionalidad-cat'!$A$4,"indicador","HOLANDA","categoría","HOTELEROS","año",2010)</f>
        <v>22431</v>
      </c>
      <c r="E12" s="274">
        <f>GETPIVOTDATA("dato",'[1]tabla dinámica nacionalidad-cat'!$A$4,"indicador","HOLANDA","categoría","5 *","año",2010)</f>
        <v>2586</v>
      </c>
      <c r="F12" s="274">
        <f>GETPIVOTDATA("dato",'[1]tabla dinámica nacionalidad-cat'!$A$4,"indicador","HOLANDA","categoría","4 *","año",2010)</f>
        <v>16279</v>
      </c>
      <c r="G12" s="274">
        <f>GETPIVOTDATA("dato",'[1]tabla dinámica nacionalidad-cat'!$A$4,"indicador","HOLANDA","categoría","3 *","año",2010)</f>
        <v>3451</v>
      </c>
      <c r="H12" s="274">
        <f>GETPIVOTDATA("dato",'[1]tabla dinámica nacionalidad-cat'!$A$4,"indicador","HOLANDA","categoría","1* Y 2 *","año",2010)</f>
        <v>115</v>
      </c>
      <c r="I12" s="274">
        <f>GETPIVOTDATA("dato",'[1]tabla dinámica nacionalidad-cat'!$A$4,"indicador","HOLANDA","categoría","EXTRAHOTELEROS","año",2010)</f>
        <v>11462</v>
      </c>
    </row>
    <row r="13" spans="2:9" ht="12.75">
      <c r="B13" s="273" t="s">
        <v>162</v>
      </c>
      <c r="C13" s="274">
        <f>GETPIVOTDATA("dato",'[1]tabla dinámica nacionalidad-cat'!$A$4,"indicador","BÉLGICA","categoría","TOTAL","año",2010)</f>
        <v>38165</v>
      </c>
      <c r="D13" s="274">
        <f>GETPIVOTDATA("dato",'[1]tabla dinámica nacionalidad-cat'!$A$4,"indicador","BÉLGICA","categoría","HOTELEROS","año",2010)</f>
        <v>32902</v>
      </c>
      <c r="E13" s="274">
        <f>GETPIVOTDATA("dato",'[1]tabla dinámica nacionalidad-cat'!$A$4,"indicador","BÉLGICA","categoría","5 *","año",2010)</f>
        <v>6507</v>
      </c>
      <c r="F13" s="274">
        <f>GETPIVOTDATA("dato",'[1]tabla dinámica nacionalidad-cat'!$A$4,"indicador","BÉLGICA","categoría","4 *","año",2010)</f>
        <v>24943</v>
      </c>
      <c r="G13" s="274">
        <f>GETPIVOTDATA("dato",'[1]tabla dinámica nacionalidad-cat'!$A$4,"indicador","BÉLGICA","categoría","3 *","año",2010)</f>
        <v>1375</v>
      </c>
      <c r="H13" s="274">
        <f>GETPIVOTDATA("dato",'[1]tabla dinámica nacionalidad-cat'!$A$4,"indicador","BÉLGICA","categoría","1* Y 2 *","año",2010)</f>
        <v>77</v>
      </c>
      <c r="I13" s="274">
        <f>GETPIVOTDATA("dato",'[1]tabla dinámica nacionalidad-cat'!$A$4,"indicador","BÉLGICA","categoría","EXTRAHOTELEROS","año",2010)</f>
        <v>5263</v>
      </c>
    </row>
    <row r="14" spans="2:9" ht="12.75">
      <c r="B14" s="273" t="s">
        <v>163</v>
      </c>
      <c r="C14" s="274">
        <f>GETPIVOTDATA("dato",'[1]tabla dinámica nacionalidad-cat'!$A$4,"indicador","ALEMANIA","categoría","TOTAL","año",2010)</f>
        <v>132424</v>
      </c>
      <c r="D14" s="274">
        <f>GETPIVOTDATA("dato",'[1]tabla dinámica nacionalidad-cat'!$A$4,"indicador","ALEMANIA","categoría","HOTELEROS","año",2010)</f>
        <v>110552</v>
      </c>
      <c r="E14" s="274">
        <f>GETPIVOTDATA("dato",'[1]tabla dinámica nacionalidad-cat'!$A$4,"indicador","ALEMANIA","categoría","5 *","año",2010)</f>
        <v>14905</v>
      </c>
      <c r="F14" s="274">
        <f>GETPIVOTDATA("dato",'[1]tabla dinámica nacionalidad-cat'!$A$4,"indicador","ALEMANIA","categoría","4 *","año",2010)</f>
        <v>73432</v>
      </c>
      <c r="G14" s="274">
        <f>GETPIVOTDATA("dato",'[1]tabla dinámica nacionalidad-cat'!$A$4,"indicador","ALEMANIA","categoría","3 *","año",2010)</f>
        <v>22120</v>
      </c>
      <c r="H14" s="274">
        <f>GETPIVOTDATA("dato",'[1]tabla dinámica nacionalidad-cat'!$A$4,"indicador","ALEMANIA","categoría","1* Y 2 *","año",2010)</f>
        <v>95</v>
      </c>
      <c r="I14" s="274">
        <f>GETPIVOTDATA("dato",'[1]tabla dinámica nacionalidad-cat'!$A$4,"indicador","ALEMANIA","categoría","EXTRAHOTELEROS","año",2010)</f>
        <v>21872</v>
      </c>
    </row>
    <row r="15" spans="2:9" ht="12.75">
      <c r="B15" s="275" t="s">
        <v>164</v>
      </c>
      <c r="C15" s="274">
        <f>GETPIVOTDATA("dato",'[1]tabla dinámica nacionalidad-cat'!$A$4,"indicador","FRANCIA","categoría","TOTAL","año",2010)</f>
        <v>24738</v>
      </c>
      <c r="D15" s="274">
        <f>GETPIVOTDATA("dato",'[1]tabla dinámica nacionalidad-cat'!$A$4,"indicador","FRANCIA","categoría","HOTELEROS","año",2010)</f>
        <v>14677</v>
      </c>
      <c r="E15" s="274">
        <f>GETPIVOTDATA("dato",'[1]tabla dinámica nacionalidad-cat'!$A$4,"indicador","FRANCIA","categoría","5 *","año",2010)</f>
        <v>1506</v>
      </c>
      <c r="F15" s="274">
        <f>GETPIVOTDATA("dato",'[1]tabla dinámica nacionalidad-cat'!$A$4,"indicador","FRANCIA","categoría","4 *","año",2010)</f>
        <v>10668</v>
      </c>
      <c r="G15" s="274">
        <f>GETPIVOTDATA("dato",'[1]tabla dinámica nacionalidad-cat'!$A$4,"indicador","FRANCIA","categoría","3 *","año",2010)</f>
        <v>2274</v>
      </c>
      <c r="H15" s="274">
        <f>GETPIVOTDATA("dato",'[1]tabla dinámica nacionalidad-cat'!$A$4,"indicador","FRANCIA","categoría","1* Y 2 *","año",2010)</f>
        <v>229</v>
      </c>
      <c r="I15" s="274">
        <f>GETPIVOTDATA("dato",'[1]tabla dinámica nacionalidad-cat'!$A$4,"indicador","FRANCIA","categoría","EXTRAHOTELEROS","año",2010)</f>
        <v>10061</v>
      </c>
    </row>
    <row r="16" spans="2:9" ht="12.75">
      <c r="B16" s="275" t="s">
        <v>165</v>
      </c>
      <c r="C16" s="274">
        <f>GETPIVOTDATA("dato",'[1]tabla dinámica nacionalidad-cat'!$A$4,"indicador","REINO UNIDO","categoría","TOTAL","año",2010)</f>
        <v>325181</v>
      </c>
      <c r="D16" s="274">
        <f>GETPIVOTDATA("dato",'[1]tabla dinámica nacionalidad-cat'!$A$4,"indicador","REINO UNIDO","categoría","HOTELEROS","año",2010)</f>
        <v>180807</v>
      </c>
      <c r="E16" s="274">
        <f>GETPIVOTDATA("dato",'[1]tabla dinámica nacionalidad-cat'!$A$4,"indicador","REINO UNIDO","categoría","5 *","año",2010)</f>
        <v>30957</v>
      </c>
      <c r="F16" s="274">
        <f>GETPIVOTDATA("dato",'[1]tabla dinámica nacionalidad-cat'!$A$4,"indicador","REINO UNIDO","categoría","4 *","año",2010)</f>
        <v>130871</v>
      </c>
      <c r="G16" s="274">
        <f>GETPIVOTDATA("dato",'[1]tabla dinámica nacionalidad-cat'!$A$4,"indicador","REINO UNIDO","categoría","3 *","año",2010)</f>
        <v>15177</v>
      </c>
      <c r="H16" s="274">
        <f>GETPIVOTDATA("dato",'[1]tabla dinámica nacionalidad-cat'!$A$4,"indicador","REINO UNIDO","categoría","1* Y 2 *","año",2010)</f>
        <v>3802</v>
      </c>
      <c r="I16" s="274">
        <f>GETPIVOTDATA("dato",'[1]tabla dinámica nacionalidad-cat'!$A$4,"indicador","REINO UNIDO","categoría","EXTRAHOTELEROS","año",2010)</f>
        <v>144374</v>
      </c>
    </row>
    <row r="17" spans="2:11" ht="12.75">
      <c r="B17" s="275" t="s">
        <v>166</v>
      </c>
      <c r="C17" s="274">
        <f>GETPIVOTDATA("dato",'[1]tabla dinámica nacionalidad-cat'!$A$4,"indicador","IRLANDA","categoría","TOTAL","año",2010)</f>
        <v>15663</v>
      </c>
      <c r="D17" s="274">
        <f>GETPIVOTDATA("dato",'[1]tabla dinámica nacionalidad-cat'!$A$4,"indicador","IRLANDA","categoría","HOTELEROS","año",2010)</f>
        <v>6599</v>
      </c>
      <c r="E17" s="274">
        <f>GETPIVOTDATA("dato",'[1]tabla dinámica nacionalidad-cat'!$A$4,"indicador","IRLANDA","categoría","5 *","año",2010)</f>
        <v>2075</v>
      </c>
      <c r="F17" s="274">
        <f>GETPIVOTDATA("dato",'[1]tabla dinámica nacionalidad-cat'!$A$4,"indicador","IRLANDA","categoría","4 *","año",2010)</f>
        <v>4067</v>
      </c>
      <c r="G17" s="274">
        <f>GETPIVOTDATA("dato",'[1]tabla dinámica nacionalidad-cat'!$A$4,"indicador","IRLANDA","categoría","3 *","año",2010)</f>
        <v>432</v>
      </c>
      <c r="H17" s="274">
        <f>GETPIVOTDATA("dato",'[1]tabla dinámica nacionalidad-cat'!$A$4,"indicador","IRLANDA","categoría","1* Y 2 *","año",2010)</f>
        <v>25</v>
      </c>
      <c r="I17" s="274">
        <f>GETPIVOTDATA("dato",'[1]tabla dinámica nacionalidad-cat'!$A$4,"indicador","IRLANDA","categoría","EXTRAHOTELEROS","año",2010)</f>
        <v>9064</v>
      </c>
    </row>
    <row r="18" spans="2:11" ht="12.75">
      <c r="B18" s="275" t="s">
        <v>167</v>
      </c>
      <c r="C18" s="274">
        <f>GETPIVOTDATA("dato",'[1]tabla dinámica nacionalidad-cat'!$A$4,"indicador","ITALIA","categoría","TOTAL","año",2010)</f>
        <v>23620</v>
      </c>
      <c r="D18" s="274">
        <f>GETPIVOTDATA("dato",'[1]tabla dinámica nacionalidad-cat'!$A$4,"indicador","ITALIA","categoría","HOTELEROS","año",2010)</f>
        <v>16609</v>
      </c>
      <c r="E18" s="274">
        <f>GETPIVOTDATA("dato",'[1]tabla dinámica nacionalidad-cat'!$A$4,"indicador","ITALIA","categoría","5 *","año",2010)</f>
        <v>1353</v>
      </c>
      <c r="F18" s="274">
        <f>GETPIVOTDATA("dato",'[1]tabla dinámica nacionalidad-cat'!$A$4,"indicador","ITALIA","categoría","4 *","año",2010)</f>
        <v>14121</v>
      </c>
      <c r="G18" s="274">
        <f>GETPIVOTDATA("dato",'[1]tabla dinámica nacionalidad-cat'!$A$4,"indicador","ITALIA","categoría","3 *","año",2010)</f>
        <v>1068</v>
      </c>
      <c r="H18" s="274">
        <f>GETPIVOTDATA("dato",'[1]tabla dinámica nacionalidad-cat'!$A$4,"indicador","ITALIA","categoría","1* Y 2 *","año",2010)</f>
        <v>67</v>
      </c>
      <c r="I18" s="274">
        <f>GETPIVOTDATA("dato",'[1]tabla dinámica nacionalidad-cat'!$A$4,"indicador","ITALIA","categoría","EXTRAHOTELEROS","año",2010)</f>
        <v>7011</v>
      </c>
    </row>
    <row r="19" spans="2:11" ht="12.75">
      <c r="B19" s="273" t="s">
        <v>168</v>
      </c>
      <c r="C19" s="274">
        <f>C20+C21+C22+C23</f>
        <v>63579</v>
      </c>
      <c r="D19" s="274">
        <f t="shared" ref="D19:I19" si="0">D20+D21+D22+D23</f>
        <v>36568</v>
      </c>
      <c r="E19" s="274">
        <f t="shared" si="0"/>
        <v>2134</v>
      </c>
      <c r="F19" s="274">
        <f t="shared" si="0"/>
        <v>24792</v>
      </c>
      <c r="G19" s="274">
        <f t="shared" si="0"/>
        <v>6618</v>
      </c>
      <c r="H19" s="274">
        <f t="shared" si="0"/>
        <v>3024</v>
      </c>
      <c r="I19" s="274">
        <f t="shared" si="0"/>
        <v>27011</v>
      </c>
    </row>
    <row r="20" spans="2:11" ht="12.75">
      <c r="B20" s="276" t="s">
        <v>169</v>
      </c>
      <c r="C20" s="274">
        <f>GETPIVOTDATA("dato",'[1]tabla dinámica nacionalidad-cat'!$A$4,"indicador","SUECIA","categoría","TOTAL","año",2010)</f>
        <v>21624</v>
      </c>
      <c r="D20" s="274">
        <f>GETPIVOTDATA("dato",'[1]tabla dinámica nacionalidad-cat'!$A$4,"indicador","SUECIA","categoría","HOTELEROS","año",2010)</f>
        <v>11106</v>
      </c>
      <c r="E20" s="274">
        <f>GETPIVOTDATA("dato",'[1]tabla dinámica nacionalidad-cat'!$A$4,"indicador","SUECIA","categoría","5 *","año",2010)</f>
        <v>667</v>
      </c>
      <c r="F20" s="274">
        <f>GETPIVOTDATA("dato",'[1]tabla dinámica nacionalidad-cat'!$A$4,"indicador","SUECIA","categoría","4 *","año",2010)</f>
        <v>8529</v>
      </c>
      <c r="G20" s="274">
        <f>GETPIVOTDATA("dato",'[1]tabla dinámica nacionalidad-cat'!$A$4,"indicador","SUECIA","categoría","3 *","año",2010)</f>
        <v>1560</v>
      </c>
      <c r="H20" s="274">
        <f>GETPIVOTDATA("dato",'[1]tabla dinámica nacionalidad-cat'!$A$4,"indicador","SUECIA","categoría","1* Y 2 *","año",2010)</f>
        <v>350</v>
      </c>
      <c r="I20" s="274">
        <f>GETPIVOTDATA("dato",'[1]tabla dinámica nacionalidad-cat'!$A$4,"indicador","SUECIA","categoría","EXTRAHOTELEROS","año",2010)</f>
        <v>10518</v>
      </c>
    </row>
    <row r="21" spans="2:11" ht="12.75">
      <c r="B21" s="276" t="s">
        <v>170</v>
      </c>
      <c r="C21" s="274">
        <f>GETPIVOTDATA("dato",'[1]tabla dinámica nacionalidad-cat'!$A$4,"indicador","NORUEGA","categoría","TOTAL","año",2010)</f>
        <v>11874</v>
      </c>
      <c r="D21" s="274">
        <f>GETPIVOTDATA("dato",'[1]tabla dinámica nacionalidad-cat'!$A$4,"indicador","NORUEGA","categoría","HOTELEROS","año",2010)</f>
        <v>7263</v>
      </c>
      <c r="E21" s="274">
        <f>GETPIVOTDATA("dato",'[1]tabla dinámica nacionalidad-cat'!$A$4,"indicador","NORUEGA","categoría","5 *","año",2010)</f>
        <v>535</v>
      </c>
      <c r="F21" s="274">
        <f>GETPIVOTDATA("dato",'[1]tabla dinámica nacionalidad-cat'!$A$4,"indicador","NORUEGA","categoría","4 *","año",2010)</f>
        <v>4527</v>
      </c>
      <c r="G21" s="274">
        <f>GETPIVOTDATA("dato",'[1]tabla dinámica nacionalidad-cat'!$A$4,"indicador","NORUEGA","categoría","3 *","año",2010)</f>
        <v>1516</v>
      </c>
      <c r="H21" s="274">
        <f>GETPIVOTDATA("dato",'[1]tabla dinámica nacionalidad-cat'!$A$4,"indicador","NORUEGA","categoría","1* Y 2 *","año",2010)</f>
        <v>685</v>
      </c>
      <c r="I21" s="274">
        <f>GETPIVOTDATA("dato",'[1]tabla dinámica nacionalidad-cat'!$A$4,"indicador","NORUEGA","categoría","EXTRAHOTELEROS","año",2010)</f>
        <v>4611</v>
      </c>
    </row>
    <row r="22" spans="2:11" ht="12.75">
      <c r="B22" s="276" t="s">
        <v>171</v>
      </c>
      <c r="C22" s="274">
        <f>GETPIVOTDATA("dato",'[1]tabla dinámica nacionalidad-cat'!$A$4,"indicador","DINAMARCA","categoría","TOTAL","año",2010)</f>
        <v>17803</v>
      </c>
      <c r="D22" s="274">
        <f>GETPIVOTDATA("dato",'[1]tabla dinámica nacionalidad-cat'!$A$4,"indicador","DINAMARCA","categoría","HOTELEROS","año",2010)</f>
        <v>11555</v>
      </c>
      <c r="E22" s="274">
        <f>GETPIVOTDATA("dato",'[1]tabla dinámica nacionalidad-cat'!$A$4,"indicador","DINAMARCA","categoría","5 *","año",2010)</f>
        <v>283</v>
      </c>
      <c r="F22" s="274">
        <f>GETPIVOTDATA("dato",'[1]tabla dinámica nacionalidad-cat'!$A$4,"indicador","DINAMARCA","categoría","4 *","año",2010)</f>
        <v>6905</v>
      </c>
      <c r="G22" s="274">
        <f>GETPIVOTDATA("dato",'[1]tabla dinámica nacionalidad-cat'!$A$4,"indicador","DINAMARCA","categoría","3 *","año",2010)</f>
        <v>2427</v>
      </c>
      <c r="H22" s="274">
        <f>GETPIVOTDATA("dato",'[1]tabla dinámica nacionalidad-cat'!$A$4,"indicador","DINAMARCA","categoría","1* Y 2 *","año",2010)</f>
        <v>1940</v>
      </c>
      <c r="I22" s="274">
        <f>GETPIVOTDATA("dato",'[1]tabla dinámica nacionalidad-cat'!$A$4,"indicador","DINAMARCA","categoría","EXTRAHOTELEROS","año",2010)</f>
        <v>6248</v>
      </c>
    </row>
    <row r="23" spans="2:11" ht="12.75">
      <c r="B23" s="276" t="s">
        <v>172</v>
      </c>
      <c r="C23" s="274">
        <f>GETPIVOTDATA("dato",'[1]tabla dinámica nacionalidad-cat'!$A$4,"indicador","FINLANDIA","categoría","TOTAL","año",2010)</f>
        <v>12278</v>
      </c>
      <c r="D23" s="274">
        <f>GETPIVOTDATA("dato",'[1]tabla dinámica nacionalidad-cat'!$A$4,"indicador","FINLANDIA","categoría","HOTELEROS","año",2010)</f>
        <v>6644</v>
      </c>
      <c r="E23" s="274">
        <f>GETPIVOTDATA("dato",'[1]tabla dinámica nacionalidad-cat'!$A$4,"indicador","FINLANDIA","categoría","5 *","año",2010)</f>
        <v>649</v>
      </c>
      <c r="F23" s="274">
        <f>GETPIVOTDATA("dato",'[1]tabla dinámica nacionalidad-cat'!$A$4,"indicador","FINLANDIA","categoría","4 *","año",2010)</f>
        <v>4831</v>
      </c>
      <c r="G23" s="274">
        <f>GETPIVOTDATA("dato",'[1]tabla dinámica nacionalidad-cat'!$A$4,"indicador","FINLANDIA","categoría","3 *","año",2010)</f>
        <v>1115</v>
      </c>
      <c r="H23" s="274">
        <f>GETPIVOTDATA("dato",'[1]tabla dinámica nacionalidad-cat'!$A$4,"indicador","FINLANDIA","categoría","1* Y 2 *","año",2010)</f>
        <v>49</v>
      </c>
      <c r="I23" s="274">
        <f>GETPIVOTDATA("dato",'[1]tabla dinámica nacionalidad-cat'!$A$4,"indicador","FINLANDIA","categoría","EXTRAHOTELEROS","año",2010)</f>
        <v>5634</v>
      </c>
    </row>
    <row r="24" spans="2:11" ht="12.75">
      <c r="B24" s="273" t="s">
        <v>173</v>
      </c>
      <c r="C24" s="274">
        <f>GETPIVOTDATA("dato",'[1]tabla dinámica nacionalidad-cat'!$A$4,"indicador","SUIZA","categoría","TOTAL","año",2010)</f>
        <v>7338</v>
      </c>
      <c r="D24" s="274">
        <f>GETPIVOTDATA("dato",'[1]tabla dinámica nacionalidad-cat'!$A$4,"indicador","SUIZA","categoría","HOTELEROS","año",2010)</f>
        <v>5634</v>
      </c>
      <c r="E24" s="274">
        <f>GETPIVOTDATA("dato",'[1]tabla dinámica nacionalidad-cat'!$A$4,"indicador","SUIZA","categoría","5 *","año",2010)</f>
        <v>1540</v>
      </c>
      <c r="F24" s="274">
        <f>GETPIVOTDATA("dato",'[1]tabla dinámica nacionalidad-cat'!$A$4,"indicador","SUIZA","categoría","4 *","año",2010)</f>
        <v>3358</v>
      </c>
      <c r="G24" s="274">
        <f>GETPIVOTDATA("dato",'[1]tabla dinámica nacionalidad-cat'!$A$4,"indicador","SUIZA","categoría","3 *","año",2010)</f>
        <v>727</v>
      </c>
      <c r="H24" s="274">
        <f>GETPIVOTDATA("dato",'[1]tabla dinámica nacionalidad-cat'!$A$4,"indicador","SUIZA","categoría","1* Y 2 *","año",2010)</f>
        <v>9</v>
      </c>
      <c r="I24" s="274">
        <f>GETPIVOTDATA("dato",'[1]tabla dinámica nacionalidad-cat'!$A$4,"indicador","SUIZA","categoría","EXTRAHOTELEROS","año",2010)</f>
        <v>1704</v>
      </c>
    </row>
    <row r="25" spans="2:11" ht="12.75">
      <c r="B25" s="273" t="s">
        <v>174</v>
      </c>
      <c r="C25" s="274">
        <f>GETPIVOTDATA("dato",'[1]tabla dinámica nacionalidad-cat'!$A$4,"indicador","AUSTRIA","categoría","TOTAL","año",2010)</f>
        <v>8031</v>
      </c>
      <c r="D25" s="274">
        <f>GETPIVOTDATA("dato",'[1]tabla dinámica nacionalidad-cat'!$A$4,"indicador","AUSTRIA","categoría","HOTELEROS","año",2010)</f>
        <v>5634</v>
      </c>
      <c r="E25" s="274">
        <f>GETPIVOTDATA("dato",'[1]tabla dinámica nacionalidad-cat'!$A$4,"indicador","AUSTRIA","categoría","5 *","año",2010)</f>
        <v>1022</v>
      </c>
      <c r="F25" s="274">
        <f>GETPIVOTDATA("dato",'[1]tabla dinámica nacionalidad-cat'!$A$4,"indicador","AUSTRIA","categoría","4 *","año",2010)</f>
        <v>4120</v>
      </c>
      <c r="G25" s="274">
        <f>GETPIVOTDATA("dato",'[1]tabla dinámica nacionalidad-cat'!$A$4,"indicador","AUSTRIA","categoría","3 *","año",2010)</f>
        <v>484</v>
      </c>
      <c r="H25" s="274">
        <f>GETPIVOTDATA("dato",'[1]tabla dinámica nacionalidad-cat'!$A$4,"indicador","AUSTRIA","categoría","1* Y 2 *","año",2010)</f>
        <v>8</v>
      </c>
      <c r="I25" s="274">
        <f>GETPIVOTDATA("dato",'[1]tabla dinámica nacionalidad-cat'!$A$4,"indicador","AUSTRIA","categoría","EXTRAHOTELEROS","año",2010)</f>
        <v>2397</v>
      </c>
    </row>
    <row r="26" spans="2:11" ht="12.75">
      <c r="B26" s="273" t="s">
        <v>175</v>
      </c>
      <c r="C26" s="274">
        <f>GETPIVOTDATA("dato",'[1]tabla dinámica nacionalidad-cat'!$A$4,"indicador","RUSIA","categoría","TOTAL","año",2010)</f>
        <v>27631</v>
      </c>
      <c r="D26" s="274">
        <f>GETPIVOTDATA("dato",'[1]tabla dinámica nacionalidad-cat'!$A$4,"indicador","RUSIA","categoría","HOTELEROS","año",2010)</f>
        <v>11520</v>
      </c>
      <c r="E26" s="274">
        <f>GETPIVOTDATA("dato",'[1]tabla dinámica nacionalidad-cat'!$A$4,"indicador","RUSIA","categoría","5 *","año",2010)</f>
        <v>3575</v>
      </c>
      <c r="F26" s="274">
        <f>GETPIVOTDATA("dato",'[1]tabla dinámica nacionalidad-cat'!$A$4,"indicador","RUSIA","categoría","4 *","año",2010)</f>
        <v>5730</v>
      </c>
      <c r="G26" s="274">
        <f>GETPIVOTDATA("dato",'[1]tabla dinámica nacionalidad-cat'!$A$4,"indicador","RUSIA","categoría","3 *","año",2010)</f>
        <v>1675</v>
      </c>
      <c r="H26" s="274">
        <f>GETPIVOTDATA("dato",'[1]tabla dinámica nacionalidad-cat'!$A$4,"indicador","RUSIA","categoría","1* Y 2 *","año",2010)</f>
        <v>540</v>
      </c>
      <c r="I26" s="274">
        <f>GETPIVOTDATA("dato",'[1]tabla dinámica nacionalidad-cat'!$A$4,"indicador","RUSIA","categoría","EXTRAHOTELEROS","año",2010)</f>
        <v>16111</v>
      </c>
    </row>
    <row r="27" spans="2:11" ht="12.75">
      <c r="B27" s="277" t="s">
        <v>176</v>
      </c>
      <c r="C27" s="274">
        <f>GETPIVOTDATA("dato",'[1]tabla dinámica nacionalidad-cat'!$A$4,"indicador","PAÍSES DEL ESTE","categoría","TOTAL","año",2010)</f>
        <v>26764</v>
      </c>
      <c r="D27" s="274">
        <f>GETPIVOTDATA("dato",'[1]tabla dinámica nacionalidad-cat'!$A$4,"indicador","PAÍSES DEL ESTE","categoría","HOTELEROS","año",2010)</f>
        <v>13647</v>
      </c>
      <c r="E27" s="274">
        <f>GETPIVOTDATA("dato",'[1]tabla dinámica nacionalidad-cat'!$A$4,"indicador","PAÍSES DEL ESTE","categoría","5 *","año",2010)</f>
        <v>1365</v>
      </c>
      <c r="F27" s="274">
        <f>GETPIVOTDATA("dato",'[1]tabla dinámica nacionalidad-cat'!$A$4,"indicador","PAÍSES DEL ESTE","categoría","4 *","año",2010)</f>
        <v>10032</v>
      </c>
      <c r="G27" s="274">
        <f>GETPIVOTDATA("dato",'[1]tabla dinámica nacionalidad-cat'!$A$4,"indicador","PAÍSES DEL ESTE","categoría","3 *","año",2010)</f>
        <v>2196</v>
      </c>
      <c r="H27" s="274">
        <f>GETPIVOTDATA("dato",'[1]tabla dinámica nacionalidad-cat'!$A$4,"indicador","PAÍSES DEL ESTE","categoría","1* Y 2 *","año",2010)</f>
        <v>54</v>
      </c>
      <c r="I27" s="274">
        <f>GETPIVOTDATA("dato",'[1]tabla dinámica nacionalidad-cat'!$A$4,"indicador","PAÍSES DEL ESTE","categoría","EXTRAHOTELEROS","año",2010)</f>
        <v>13117</v>
      </c>
    </row>
    <row r="28" spans="2:11" ht="12.75">
      <c r="B28" s="277" t="s">
        <v>177</v>
      </c>
      <c r="C28" s="274">
        <f>GETPIVOTDATA("dato",'[1]tabla dinámica nacionalidad-cat'!$A$4,"indicador","RESTO DE EUROPA","categoría","TOTAL","año",2010)</f>
        <v>23752</v>
      </c>
      <c r="D28" s="274">
        <f>GETPIVOTDATA("dato",'[1]tabla dinámica nacionalidad-cat'!$A$4,"indicador","RESTO DE EUROPA","categoría","HOTELEROS","año",2010)</f>
        <v>18059</v>
      </c>
      <c r="E28" s="274">
        <f>GETPIVOTDATA("dato",'[1]tabla dinámica nacionalidad-cat'!$A$4,"indicador","RESTO DE EUROPA","categoría","5 *","año",2010)</f>
        <v>1639</v>
      </c>
      <c r="F28" s="274">
        <f>GETPIVOTDATA("dato",'[1]tabla dinámica nacionalidad-cat'!$A$4,"indicador","RESTO DE EUROPA","categoría","4 *","año",2010)</f>
        <v>12466</v>
      </c>
      <c r="G28" s="274">
        <f>GETPIVOTDATA("dato",'[1]tabla dinámica nacionalidad-cat'!$A$4,"indicador","RESTO DE EUROPA","categoría","3 *","año",2010)</f>
        <v>3952</v>
      </c>
      <c r="H28" s="274">
        <f>GETPIVOTDATA("dato",'[1]tabla dinámica nacionalidad-cat'!$A$4,"indicador","RESTO DE EUROPA","categoría","1* Y 2 *","año",2010)</f>
        <v>2</v>
      </c>
      <c r="I28" s="274">
        <f>GETPIVOTDATA("dato",'[1]tabla dinámica nacionalidad-cat'!$A$4,"indicador","RESTO DE EUROPA","categoría","EXTRAHOTELEROS","año",2010)</f>
        <v>5693</v>
      </c>
    </row>
    <row r="29" spans="2:11" ht="12.75">
      <c r="B29" s="231" t="s">
        <v>178</v>
      </c>
      <c r="C29" s="274">
        <f>GETPIVOTDATA("dato",'[1]tabla dinámica nacionalidad-cat'!$A$4,"indicador","USA","categoría","TOTAL","año",2010)</f>
        <v>1920</v>
      </c>
      <c r="D29" s="274">
        <f>GETPIVOTDATA("dato",'[1]tabla dinámica nacionalidad-cat'!$A$4,"indicador","USA","categoría","HOTELEROS","año",2010)</f>
        <v>1207</v>
      </c>
      <c r="E29" s="274">
        <f>GETPIVOTDATA("dato",'[1]tabla dinámica nacionalidad-cat'!$A$4,"indicador","USA","categoría","5 *","año",2010)</f>
        <v>601</v>
      </c>
      <c r="F29" s="274">
        <f>GETPIVOTDATA("dato",'[1]tabla dinámica nacionalidad-cat'!$A$4,"indicador","USA","categoría","4 *","año",2010)</f>
        <v>556</v>
      </c>
      <c r="G29" s="274">
        <f>GETPIVOTDATA("dato",'[1]tabla dinámica nacionalidad-cat'!$A$4,"indicador","USA","categoría","3 *","año",2010)</f>
        <v>46</v>
      </c>
      <c r="H29" s="274">
        <f>GETPIVOTDATA("dato",'[1]tabla dinámica nacionalidad-cat'!$A$4,"indicador","USA","categoría","1* Y 2 *","año",2010)</f>
        <v>4</v>
      </c>
      <c r="I29" s="274">
        <f>GETPIVOTDATA("dato",'[1]tabla dinámica nacionalidad-cat'!$A$4,"indicador","USA","categoría","EXTRAHOTELEROS","año",2010)</f>
        <v>713</v>
      </c>
    </row>
    <row r="30" spans="2:11" ht="12.75">
      <c r="B30" s="277" t="s">
        <v>179</v>
      </c>
      <c r="C30" s="274">
        <f>GETPIVOTDATA("dato",'[1]tabla dinámica nacionalidad-cat'!$A$4,"indicador","RESTO DE AMÉRICA","categoría","TOTAL","año",2010)</f>
        <v>1682</v>
      </c>
      <c r="D30" s="274">
        <f>GETPIVOTDATA("dato",'[1]tabla dinámica nacionalidad-cat'!$A$4,"indicador","RESTO DE AMÉRICA","categoría","HOTELEROS","año",2010)</f>
        <v>1191</v>
      </c>
      <c r="E30" s="274">
        <f>GETPIVOTDATA("dato",'[1]tabla dinámica nacionalidad-cat'!$A$4,"indicador","RESTO DE AMÉRICA","categoría","5 *","año",2010)</f>
        <v>278</v>
      </c>
      <c r="F30" s="274">
        <f>GETPIVOTDATA("dato",'[1]tabla dinámica nacionalidad-cat'!$A$4,"indicador","RESTO DE AMÉRICA","categoría","4 *","año",2010)</f>
        <v>768</v>
      </c>
      <c r="G30" s="274">
        <f>GETPIVOTDATA("dato",'[1]tabla dinámica nacionalidad-cat'!$A$4,"indicador","RESTO DE AMÉRICA","categoría","3 *","año",2010)</f>
        <v>136</v>
      </c>
      <c r="H30" s="274">
        <f>GETPIVOTDATA("dato",'[1]tabla dinámica nacionalidad-cat'!$A$4,"indicador","RESTO DE AMÉRICA","categoría","1* Y 2 *","año",2010)</f>
        <v>9</v>
      </c>
      <c r="I30" s="274">
        <f>GETPIVOTDATA("dato",'[1]tabla dinámica nacionalidad-cat'!$A$4,"indicador","RESTO DE AMÉRICA","categoría","EXTRAHOTELEROS","año",2010)</f>
        <v>491</v>
      </c>
      <c r="J30" s="278"/>
      <c r="K30" s="278"/>
    </row>
    <row r="31" spans="2:11" ht="12.75">
      <c r="B31" s="277" t="s">
        <v>180</v>
      </c>
      <c r="C31" s="274">
        <f>GETPIVOTDATA("dato",'[1]tabla dinámica nacionalidad-cat'!$A$4,"indicador","RESTO DEL MUNDO","categoría","TOTAL","año",2010)</f>
        <v>6784</v>
      </c>
      <c r="D31" s="274">
        <f>GETPIVOTDATA("dato",'[1]tabla dinámica nacionalidad-cat'!$A$4,"indicador","RESTO DEL MUNDO","categoría","HOTELEROS","año",2010)</f>
        <v>5963</v>
      </c>
      <c r="E31" s="274">
        <f>GETPIVOTDATA("dato",'[1]tabla dinámica nacionalidad-cat'!$A$4,"indicador","RESTO DEL MUNDO","categoría","5 *","año",2010)</f>
        <v>1601</v>
      </c>
      <c r="F31" s="274">
        <f>GETPIVOTDATA("dato",'[1]tabla dinámica nacionalidad-cat'!$A$4,"indicador","RESTO DEL MUNDO","categoría","4 *","año",2010)</f>
        <v>3623</v>
      </c>
      <c r="G31" s="274">
        <f>GETPIVOTDATA("dato",'[1]tabla dinámica nacionalidad-cat'!$A$4,"indicador","RESTO DEL MUNDO","categoría","3 *","año",2010)</f>
        <v>541</v>
      </c>
      <c r="H31" s="274">
        <f>GETPIVOTDATA("dato",'[1]tabla dinámica nacionalidad-cat'!$A$4,"indicador","RESTO DEL MUNDO","categoría","1* Y 2 *","año",2010)</f>
        <v>198</v>
      </c>
      <c r="I31" s="274">
        <f>GETPIVOTDATA("dato",'[1]tabla dinámica nacionalidad-cat'!$A$4,"indicador","RESTO DEL MUNDO","categoría","EXTRAHOTELEROS","año",2010)</f>
        <v>821</v>
      </c>
    </row>
    <row r="32" spans="2:11" ht="12.75">
      <c r="B32" s="279" t="s">
        <v>181</v>
      </c>
      <c r="C32" s="280">
        <f>C33-C11</f>
        <v>761165</v>
      </c>
      <c r="D32" s="280">
        <f t="shared" ref="D32:I32" si="1">D33-D11</f>
        <v>484000</v>
      </c>
      <c r="E32" s="280">
        <f t="shared" si="1"/>
        <v>73644</v>
      </c>
      <c r="F32" s="280">
        <f t="shared" si="1"/>
        <v>339826</v>
      </c>
      <c r="G32" s="280">
        <f t="shared" si="1"/>
        <v>62272</v>
      </c>
      <c r="H32" s="280">
        <f t="shared" si="1"/>
        <v>8258</v>
      </c>
      <c r="I32" s="280">
        <f t="shared" si="1"/>
        <v>277165</v>
      </c>
    </row>
    <row r="33" spans="2:9" ht="12.75">
      <c r="B33" s="281" t="s">
        <v>107</v>
      </c>
      <c r="C33" s="282">
        <f>GETPIVOTDATA("dato",'[1]tabla dinámica nacionalidad-cat'!$A$4,"indicador","TOTAL","categoría","TOTAL","año",2010)</f>
        <v>978683</v>
      </c>
      <c r="D33" s="282">
        <f>GETPIVOTDATA("dato",'[1]tabla dinámica nacionalidad-cat'!$A$4,"indicador","TOTAL","categoría","HOTELEROS","año",2010)</f>
        <v>644123</v>
      </c>
      <c r="E33" s="282">
        <f>GETPIVOTDATA("dato",'[1]tabla dinámica nacionalidad-cat'!$A$4,"indicador","TOTAL","categoría","5 *","año",2010)</f>
        <v>92816</v>
      </c>
      <c r="F33" s="282">
        <f>GETPIVOTDATA("dato",'[1]tabla dinámica nacionalidad-cat'!$A$4,"indicador","TOTAL","categoría","4 *","año",2010)</f>
        <v>441530</v>
      </c>
      <c r="G33" s="282">
        <f>GETPIVOTDATA("dato",'[1]tabla dinámica nacionalidad-cat'!$A$4,"indicador","TOTAL","categoría","3 *","año",2010)</f>
        <v>99829</v>
      </c>
      <c r="H33" s="282">
        <f>GETPIVOTDATA("dato",'[1]tabla dinámica nacionalidad-cat'!$A$4,"indicador","TOTAL","categoría","1* Y 2 *","año",2010)</f>
        <v>9948</v>
      </c>
      <c r="I33" s="282">
        <f>GETPIVOTDATA("dato",'[1]tabla dinámica nacionalidad-cat'!$A$4,"indicador","TOTAL","categoría","EXTRAHOTELEROS","año",2010)</f>
        <v>334560</v>
      </c>
    </row>
    <row r="34" spans="2:9">
      <c r="B34" s="283" t="s">
        <v>90</v>
      </c>
      <c r="C34" s="284"/>
      <c r="D34" s="284"/>
      <c r="E34" s="284"/>
      <c r="F34" s="284"/>
      <c r="G34" s="284"/>
      <c r="H34" s="284"/>
      <c r="I34" s="285"/>
    </row>
  </sheetData>
  <mergeCells count="7">
    <mergeCell ref="B34:I34"/>
    <mergeCell ref="B7:I7"/>
    <mergeCell ref="B8:I8"/>
    <mergeCell ref="B9:B10"/>
    <mergeCell ref="C9:C10"/>
    <mergeCell ref="D9:H9"/>
    <mergeCell ref="I9:I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3:I31"/>
  <sheetViews>
    <sheetView showGridLines="0" showRowColHeaders="0" topLeftCell="A2" zoomScaleNormal="100" workbookViewId="0">
      <selection activeCell="B25" sqref="B25"/>
    </sheetView>
  </sheetViews>
  <sheetFormatPr baseColWidth="10" defaultRowHeight="15"/>
  <cols>
    <col min="1" max="1" width="15.85546875" customWidth="1"/>
    <col min="2" max="2" width="18.5703125" customWidth="1"/>
    <col min="6" max="8" width="11.5703125" bestFit="1" customWidth="1"/>
    <col min="9" max="9" width="11.7109375" bestFit="1" customWidth="1"/>
  </cols>
  <sheetData>
    <row r="3" spans="2:9" ht="33.75" customHeight="1"/>
    <row r="4" spans="2:9" ht="32.25" customHeight="1">
      <c r="B4" s="258" t="s">
        <v>195</v>
      </c>
      <c r="C4" s="259"/>
      <c r="D4" s="259"/>
      <c r="E4" s="259"/>
      <c r="F4" s="259"/>
      <c r="G4" s="259"/>
      <c r="H4" s="259"/>
      <c r="I4" s="260"/>
    </row>
    <row r="5" spans="2:9">
      <c r="B5" s="262" t="str">
        <f>actualizaciones!A2</f>
        <v xml:space="preserve">acumulado julio 2010 </v>
      </c>
      <c r="C5" s="263"/>
      <c r="D5" s="263"/>
      <c r="E5" s="263"/>
      <c r="F5" s="263"/>
      <c r="G5" s="263"/>
      <c r="H5" s="263"/>
      <c r="I5" s="264"/>
    </row>
    <row r="6" spans="2:9">
      <c r="B6" s="265" t="s">
        <v>158</v>
      </c>
      <c r="C6" s="266" t="s">
        <v>93</v>
      </c>
      <c r="D6" s="266" t="s">
        <v>188</v>
      </c>
      <c r="E6" s="266"/>
      <c r="F6" s="266"/>
      <c r="G6" s="266"/>
      <c r="H6" s="266"/>
      <c r="I6" s="267" t="s">
        <v>189</v>
      </c>
    </row>
    <row r="7" spans="2:9" ht="24">
      <c r="B7" s="265"/>
      <c r="C7" s="268"/>
      <c r="D7" s="269" t="s">
        <v>190</v>
      </c>
      <c r="E7" s="269" t="s">
        <v>191</v>
      </c>
      <c r="F7" s="269" t="s">
        <v>192</v>
      </c>
      <c r="G7" s="269" t="s">
        <v>193</v>
      </c>
      <c r="H7" s="269" t="s">
        <v>194</v>
      </c>
      <c r="I7" s="270"/>
    </row>
    <row r="8" spans="2:9">
      <c r="B8" s="271" t="s">
        <v>159</v>
      </c>
      <c r="C8" s="286">
        <f>GETPIVOTDATA("dato",'[1]tabla dinámica nacionalidad-cat'!$A$4,"indicador","España","categoría","TOTAL","año",2010)/GETPIVOTDATA("dato",'[1]tabla dinámica nacionalidad-cat'!$A$4,"indicador","España","categoría","TOTAL","año",2009)-1</f>
        <v>0.12687862319779097</v>
      </c>
      <c r="D8" s="286">
        <f>GETPIVOTDATA("dato",'[1]tabla dinámica nacionalidad-cat'!$A$4,"indicador","España","categoría","HOTELEROS","año",2010)/GETPIVOTDATA("dato",'[1]tabla dinámica nacionalidad-cat'!$A$4,"indicador","España","categoría","HOTELEROS","año",2009)-1</f>
        <v>9.4349294003471806E-2</v>
      </c>
      <c r="E8" s="286">
        <f>GETPIVOTDATA("dato",'[1]tabla dinámica nacionalidad-cat'!$A$4,"indicador","España","categoría","5 *","año",2010)/GETPIVOTDATA("dato",'[1]tabla dinámica nacionalidad-cat'!$A$4,"indicador","España","categoría","5 *","año",2009)-1</f>
        <v>0.15549662487946003</v>
      </c>
      <c r="F8" s="286">
        <f>GETPIVOTDATA("dato",'[1]tabla dinámica nacionalidad-cat'!$A$4,"indicador","España","categoría","4 *","año",2010)/GETPIVOTDATA("dato",'[1]tabla dinámica nacionalidad-cat'!$A$4,"indicador","España","categoría","4 *","año",2009)-1</f>
        <v>0.10167031348166122</v>
      </c>
      <c r="G8" s="286">
        <f>GETPIVOTDATA("dato",'[1]tabla dinámica nacionalidad-cat'!$A$4,"indicador","España","categoría","3 *","año",2010)/GETPIVOTDATA("dato",'[1]tabla dinámica nacionalidad-cat'!$A$4,"indicador","España","categoría","3 *","año",2009)-1</f>
        <v>2.8282772971196968E-2</v>
      </c>
      <c r="H8" s="286">
        <f>GETPIVOTDATA("dato",'[1]tabla dinámica nacionalidad-cat'!$A$4,"indicador","España","categoría","1* Y 2 *","año",2010)/GETPIVOTDATA("dato",'[1]tabla dinámica nacionalidad-cat'!$A$4,"indicador","España","categoría","1* Y 2 *","año",2009)-1</f>
        <v>0.91176470588235303</v>
      </c>
      <c r="I8" s="286">
        <f>GETPIVOTDATA("dato",'[1]tabla dinámica nacionalidad-cat'!$A$4,"indicador","España","categoría","EXTRAHOTELEROS","año",2010)/GETPIVOTDATA("dato",'[1]tabla dinámica nacionalidad-cat'!$A$4,"indicador","España","categoría","EXTRAHOTELEROS","año",2009)-1</f>
        <v>0.22877817979404402</v>
      </c>
    </row>
    <row r="9" spans="2:9">
      <c r="B9" s="273" t="s">
        <v>161</v>
      </c>
      <c r="C9" s="287">
        <f>GETPIVOTDATA("dato",'[1]tabla dinámica nacionalidad-cat'!$A$4,"indicador","HOLANDA","categoría","TOTAL","año",2010)/GETPIVOTDATA("dato",'[1]tabla dinámica nacionalidad-cat'!$A$4,"indicador","HOLANDA","categoría","TOTAL","año",2009)-1</f>
        <v>-5.0775779980955615E-2</v>
      </c>
      <c r="D9" s="287">
        <f>GETPIVOTDATA("dato",'[1]tabla dinámica nacionalidad-cat'!$A$4,"indicador","HOLANDA","categoría","HOTELEROS","año",2010)/GETPIVOTDATA("dato",'[1]tabla dinámica nacionalidad-cat'!$A$4,"indicador","HOLANDA","categoría","HOTELEROS","año",2009)-1</f>
        <v>-1.4541780159915696E-2</v>
      </c>
      <c r="E9" s="287">
        <f>GETPIVOTDATA("dato",'[1]tabla dinámica nacionalidad-cat'!$A$4,"indicador","HOLANDA","categoría","5 *","año",2010)/GETPIVOTDATA("dato",'[1]tabla dinámica nacionalidad-cat'!$A$4,"indicador","HOLANDA","categoría","5 *","año",2009)-1</f>
        <v>-0.10858324715615308</v>
      </c>
      <c r="F9" s="287">
        <f>GETPIVOTDATA("dato",'[1]tabla dinámica nacionalidad-cat'!$A$4,"indicador","HOLANDA","categoría","4 *","año",2010)/GETPIVOTDATA("dato",'[1]tabla dinámica nacionalidad-cat'!$A$4,"indicador","HOLANDA","categoría","4 *","año",2009)-1</f>
        <v>5.8039776420122147E-2</v>
      </c>
      <c r="G9" s="287">
        <f>GETPIVOTDATA("dato",'[1]tabla dinámica nacionalidad-cat'!$A$4,"indicador","HOLANDA","categoría","3 *","año",2010)/GETPIVOTDATA("dato",'[1]tabla dinámica nacionalidad-cat'!$A$4,"indicador","HOLANDA","categoría","3 *","año",2009)-1</f>
        <v>-0.19538353928654695</v>
      </c>
      <c r="H9" s="287">
        <f>GETPIVOTDATA("dato",'[1]tabla dinámica nacionalidad-cat'!$A$4,"indicador","HOLANDA","categoría","1* Y 2 *","año",2010)/GETPIVOTDATA("dato",'[1]tabla dinámica nacionalidad-cat'!$A$4,"indicador","HOLANDA","categoría","1* Y 2 *","año",2009)-1</f>
        <v>-0.38172043010752688</v>
      </c>
      <c r="I9" s="287">
        <f>GETPIVOTDATA("dato",'[1]tabla dinámica nacionalidad-cat'!$A$4,"indicador","HOLANDA","categoría","EXTRAHOTELEROS","año",2010)/GETPIVOTDATA("dato",'[1]tabla dinámica nacionalidad-cat'!$A$4,"indicador","HOLANDA","categoría","EXTRAHOTELEROS","año",2009)-1</f>
        <v>-0.11449320148331277</v>
      </c>
    </row>
    <row r="10" spans="2:9">
      <c r="B10" s="273" t="s">
        <v>162</v>
      </c>
      <c r="C10" s="287">
        <f>GETPIVOTDATA("dato",'[1]tabla dinámica nacionalidad-cat'!$A$4,"indicador","BÉLGICA","categoría","TOTAL","año",2010)/GETPIVOTDATA("dato",'[1]tabla dinámica nacionalidad-cat'!$A$4,"indicador","BÉLGICA","categoría","TOTAL","año",2009)-1</f>
        <v>0.10039500619900243</v>
      </c>
      <c r="D10" s="287">
        <f>GETPIVOTDATA("dato",'[1]tabla dinámica nacionalidad-cat'!$A$4,"indicador","BÉLGICA","categoría","HOTELEROS","año",2010)/GETPIVOTDATA("dato",'[1]tabla dinámica nacionalidad-cat'!$A$4,"indicador","BÉLGICA","categoría","HOTELEROS","año",2009)-1</f>
        <v>8.7202194098404018E-2</v>
      </c>
      <c r="E10" s="287">
        <f>GETPIVOTDATA("dato",'[1]tabla dinámica nacionalidad-cat'!$A$4,"indicador","BÉLGICA","categoría","5 *","año",2010)/GETPIVOTDATA("dato",'[1]tabla dinámica nacionalidad-cat'!$A$4,"indicador","BÉLGICA","categoría","5 *","año",2009)-1</f>
        <v>0.22450131727512224</v>
      </c>
      <c r="F10" s="287">
        <f>GETPIVOTDATA("dato",'[1]tabla dinámica nacionalidad-cat'!$A$4,"indicador","BÉLGICA","categoría","4 *","año",2010)/GETPIVOTDATA("dato",'[1]tabla dinámica nacionalidad-cat'!$A$4,"indicador","BÉLGICA","categoría","4 *","año",2009)-1</f>
        <v>6.416656000682619E-2</v>
      </c>
      <c r="G10" s="287">
        <f>GETPIVOTDATA("dato",'[1]tabla dinámica nacionalidad-cat'!$A$4,"indicador","BÉLGICA","categoría","3 *","año",2010)/GETPIVOTDATA("dato",'[1]tabla dinámica nacionalidad-cat'!$A$4,"indicador","BÉLGICA","categoría","3 *","año",2009)-1</f>
        <v>-4.9100968188105165E-2</v>
      </c>
      <c r="H10" s="287">
        <f>GETPIVOTDATA("dato",'[1]tabla dinámica nacionalidad-cat'!$A$4,"indicador","BÉLGICA","categoría","1* Y 2 *","año",2010)/GETPIVOTDATA("dato",'[1]tabla dinámica nacionalidad-cat'!$A$4,"indicador","BÉLGICA","categoría","1* Y 2 *","año",2009)-1</f>
        <v>0.203125</v>
      </c>
      <c r="I10" s="287">
        <f>GETPIVOTDATA("dato",'[1]tabla dinámica nacionalidad-cat'!$A$4,"indicador","BÉLGICA","categoría","EXTRAHOTELEROS","año",2010)/GETPIVOTDATA("dato",'[1]tabla dinámica nacionalidad-cat'!$A$4,"indicador","BÉLGICA","categoría","EXTRAHOTELEROS","año",2009)-1</f>
        <v>0.19072398190045248</v>
      </c>
    </row>
    <row r="11" spans="2:9">
      <c r="B11" s="273" t="s">
        <v>163</v>
      </c>
      <c r="C11" s="287">
        <f>GETPIVOTDATA("dato",'[1]tabla dinámica nacionalidad-cat'!$A$4,"indicador","ALEMANIA","categoría","TOTAL","año",2010)/GETPIVOTDATA("dato",'[1]tabla dinámica nacionalidad-cat'!$A$4,"indicador","ALEMANIA","categoría","TOTAL","año",2009)-1</f>
        <v>5.5322675762260687E-2</v>
      </c>
      <c r="D11" s="287">
        <f>GETPIVOTDATA("dato",'[1]tabla dinámica nacionalidad-cat'!$A$4,"indicador","ALEMANIA","categoría","HOTELEROS","año",2010)/GETPIVOTDATA("dato",'[1]tabla dinámica nacionalidad-cat'!$A$4,"indicador","ALEMANIA","categoría","HOTELEROS","año",2009)-1</f>
        <v>2.2313873810558604E-2</v>
      </c>
      <c r="E11" s="287">
        <f>GETPIVOTDATA("dato",'[1]tabla dinámica nacionalidad-cat'!$A$4,"indicador","ALEMANIA","categoría","5 *","año",2010)/GETPIVOTDATA("dato",'[1]tabla dinámica nacionalidad-cat'!$A$4,"indicador","ALEMANIA","categoría","5 *","año",2009)-1</f>
        <v>4.8540416638576112E-3</v>
      </c>
      <c r="F11" s="287">
        <f>GETPIVOTDATA("dato",'[1]tabla dinámica nacionalidad-cat'!$A$4,"indicador","ALEMANIA","categoría","4 *","año",2010)/GETPIVOTDATA("dato",'[1]tabla dinámica nacionalidad-cat'!$A$4,"indicador","ALEMANIA","categoría","4 *","año",2009)-1</f>
        <v>8.4956118318016527E-2</v>
      </c>
      <c r="G11" s="287">
        <f>GETPIVOTDATA("dato",'[1]tabla dinámica nacionalidad-cat'!$A$4,"indicador","ALEMANIA","categoría","3 *","año",2010)/GETPIVOTDATA("dato",'[1]tabla dinámica nacionalidad-cat'!$A$4,"indicador","ALEMANIA","categoría","3 *","año",2009)-1</f>
        <v>-0.13176590650390552</v>
      </c>
      <c r="H11" s="287">
        <f>GETPIVOTDATA("dato",'[1]tabla dinámica nacionalidad-cat'!$A$4,"indicador","ALEMANIA","categoría","1* Y 2 *","año",2010)/GETPIVOTDATA("dato",'[1]tabla dinámica nacionalidad-cat'!$A$4,"indicador","ALEMANIA","categoría","1* Y 2 *","año",2009)-1</f>
        <v>-0.3537414965986394</v>
      </c>
      <c r="I11" s="287">
        <f>GETPIVOTDATA("dato",'[1]tabla dinámica nacionalidad-cat'!$A$4,"indicador","ALEMANIA","categoría","EXTRAHOTELEROS","año",2010)/GETPIVOTDATA("dato",'[1]tabla dinámica nacionalidad-cat'!$A$4,"indicador","ALEMANIA","categoría","EXTRAHOTELEROS","año",2009)-1</f>
        <v>0.26114282419419932</v>
      </c>
    </row>
    <row r="12" spans="2:9">
      <c r="B12" s="275" t="s">
        <v>164</v>
      </c>
      <c r="C12" s="287">
        <f>GETPIVOTDATA("dato",'[1]tabla dinámica nacionalidad-cat'!$A$4,"indicador","FRANCIA","categoría","TOTAL","año",2010)/GETPIVOTDATA("dato",'[1]tabla dinámica nacionalidad-cat'!$A$4,"indicador","FRANCIA","categoría","TOTAL","año",2009)-1</f>
        <v>-1.9365770999757448E-3</v>
      </c>
      <c r="D12" s="287">
        <f>GETPIVOTDATA("dato",'[1]tabla dinámica nacionalidad-cat'!$A$4,"indicador","FRANCIA","categoría","HOTELEROS","año",2010)/GETPIVOTDATA("dato",'[1]tabla dinámica nacionalidad-cat'!$A$4,"indicador","FRANCIA","categoría","HOTELEROS","año",2009)-1</f>
        <v>6.1857907683403379E-2</v>
      </c>
      <c r="E12" s="287">
        <f>GETPIVOTDATA("dato",'[1]tabla dinámica nacionalidad-cat'!$A$4,"indicador","FRANCIA","categoría","5 *","año",2010)/GETPIVOTDATA("dato",'[1]tabla dinámica nacionalidad-cat'!$A$4,"indicador","FRANCIA","categoría","5 *","año",2009)-1</f>
        <v>-0.18285404232230063</v>
      </c>
      <c r="F12" s="287">
        <f>GETPIVOTDATA("dato",'[1]tabla dinámica nacionalidad-cat'!$A$4,"indicador","FRANCIA","categoría","4 *","año",2010)/GETPIVOTDATA("dato",'[1]tabla dinámica nacionalidad-cat'!$A$4,"indicador","FRANCIA","categoría","4 *","año",2009)-1</f>
        <v>0.11578286790084724</v>
      </c>
      <c r="G12" s="287">
        <f>GETPIVOTDATA("dato",'[1]tabla dinámica nacionalidad-cat'!$A$4,"indicador","FRANCIA","categoría","3 *","año",2010)/GETPIVOTDATA("dato",'[1]tabla dinámica nacionalidad-cat'!$A$4,"indicador","FRANCIA","categoría","3 *","año",2009)-1</f>
        <v>0</v>
      </c>
      <c r="H12" s="287">
        <f>GETPIVOTDATA("dato",'[1]tabla dinámica nacionalidad-cat'!$A$4,"indicador","FRANCIA","categoría","1* Y 2 *","año",2010)/GETPIVOTDATA("dato",'[1]tabla dinámica nacionalidad-cat'!$A$4,"indicador","FRANCIA","categoría","1* Y 2 *","año",2009)-1</f>
        <v>0.59027777777777768</v>
      </c>
      <c r="I12" s="287">
        <f>GETPIVOTDATA("dato",'[1]tabla dinámica nacionalidad-cat'!$A$4,"indicador","FRANCIA","categoría","EXTRAHOTELEROS","año",2010)/GETPIVOTDATA("dato",'[1]tabla dinámica nacionalidad-cat'!$A$4,"indicador","FRANCIA","categoría","EXTRAHOTELEROS","año",2009)-1</f>
        <v>-8.236045238963885E-2</v>
      </c>
    </row>
    <row r="13" spans="2:9">
      <c r="B13" s="275" t="s">
        <v>165</v>
      </c>
      <c r="C13" s="287">
        <f>GETPIVOTDATA("dato",'[1]tabla dinámica nacionalidad-cat'!$A$4,"indicador","REINO UNIDO","categoría","TOTAL","año",2010)/GETPIVOTDATA("dato",'[1]tabla dinámica nacionalidad-cat'!$A$4,"indicador","REINO UNIDO","categoría","TOTAL","año",2009)-1</f>
        <v>2.8594835848561262E-2</v>
      </c>
      <c r="D13" s="287">
        <f>GETPIVOTDATA("dato",'[1]tabla dinámica nacionalidad-cat'!$A$4,"indicador","REINO UNIDO","categoría","HOTELEROS","año",2010)/GETPIVOTDATA("dato",'[1]tabla dinámica nacionalidad-cat'!$A$4,"indicador","REINO UNIDO","categoría","HOTELEROS","año",2009)-1</f>
        <v>0.10554217162143975</v>
      </c>
      <c r="E13" s="287">
        <f>GETPIVOTDATA("dato",'[1]tabla dinámica nacionalidad-cat'!$A$4,"indicador","REINO UNIDO","categoría","5 *","año",2010)/GETPIVOTDATA("dato",'[1]tabla dinámica nacionalidad-cat'!$A$4,"indicador","REINO UNIDO","categoría","5 *","año",2009)-1</f>
        <v>0.33602347762289075</v>
      </c>
      <c r="F13" s="287">
        <f>GETPIVOTDATA("dato",'[1]tabla dinámica nacionalidad-cat'!$A$4,"indicador","REINO UNIDO","categoría","4 *","año",2010)/GETPIVOTDATA("dato",'[1]tabla dinámica nacionalidad-cat'!$A$4,"indicador","REINO UNIDO","categoría","4 *","año",2009)-1</f>
        <v>0.12711003169353718</v>
      </c>
      <c r="G13" s="287">
        <f>GETPIVOTDATA("dato",'[1]tabla dinámica nacionalidad-cat'!$A$4,"indicador","REINO UNIDO","categoría","3 *","año",2010)/GETPIVOTDATA("dato",'[1]tabla dinámica nacionalidad-cat'!$A$4,"indicador","REINO UNIDO","categoría","3 *","año",2009)-1</f>
        <v>-0.23840826977117624</v>
      </c>
      <c r="H13" s="287">
        <f>GETPIVOTDATA("dato",'[1]tabla dinámica nacionalidad-cat'!$A$4,"indicador","REINO UNIDO","categoría","1* Y 2 *","año",2010)/GETPIVOTDATA("dato",'[1]tabla dinámica nacionalidad-cat'!$A$4,"indicador","REINO UNIDO","categoría","1* Y 2 *","año",2009)-1</f>
        <v>-0.12295271049596312</v>
      </c>
      <c r="I13" s="287">
        <f>GETPIVOTDATA("dato",'[1]tabla dinámica nacionalidad-cat'!$A$4,"indicador","REINO UNIDO","categoría","EXTRAHOTELEROS","año",2010)/GETPIVOTDATA("dato",'[1]tabla dinámica nacionalidad-cat'!$A$4,"indicador","REINO UNIDO","categoría","EXTRAHOTELEROS","año",2009)-1</f>
        <v>-5.3874635472983989E-2</v>
      </c>
    </row>
    <row r="14" spans="2:9">
      <c r="B14" s="275" t="s">
        <v>166</v>
      </c>
      <c r="C14" s="287">
        <f>GETPIVOTDATA("dato",'[1]tabla dinámica nacionalidad-cat'!$A$4,"indicador","IRLANDA","categoría","TOTAL","año",2010)/GETPIVOTDATA("dato",'[1]tabla dinámica nacionalidad-cat'!$A$4,"indicador","IRLANDA","categoría","TOTAL","año",2009)-1</f>
        <v>-0.27833579063767044</v>
      </c>
      <c r="D14" s="287">
        <f>GETPIVOTDATA("dato",'[1]tabla dinámica nacionalidad-cat'!$A$4,"indicador","IRLANDA","categoría","HOTELEROS","año",2010)/GETPIVOTDATA("dato",'[1]tabla dinámica nacionalidad-cat'!$A$4,"indicador","IRLANDA","categoría","HOTELEROS","año",2009)-1</f>
        <v>9.1104497354497438E-2</v>
      </c>
      <c r="E14" s="287">
        <f>GETPIVOTDATA("dato",'[1]tabla dinámica nacionalidad-cat'!$A$4,"indicador","IRLANDA","categoría","5 *","año",2010)/GETPIVOTDATA("dato",'[1]tabla dinámica nacionalidad-cat'!$A$4,"indicador","IRLANDA","categoría","5 *","año",2009)-1</f>
        <v>1.0716025328787238E-2</v>
      </c>
      <c r="F14" s="287">
        <f>GETPIVOTDATA("dato",'[1]tabla dinámica nacionalidad-cat'!$A$4,"indicador","IRLANDA","categoría","4 *","año",2010)/GETPIVOTDATA("dato",'[1]tabla dinámica nacionalidad-cat'!$A$4,"indicador","IRLANDA","categoría","4 *","año",2009)-1</f>
        <v>0.17002301495972372</v>
      </c>
      <c r="G14" s="287">
        <f>GETPIVOTDATA("dato",'[1]tabla dinámica nacionalidad-cat'!$A$4,"indicador","IRLANDA","categoría","3 *","año",2010)/GETPIVOTDATA("dato",'[1]tabla dinámica nacionalidad-cat'!$A$4,"indicador","IRLANDA","categoría","3 *","año",2009)-1</f>
        <v>-0.16116504854368929</v>
      </c>
      <c r="H14" s="287">
        <f>GETPIVOTDATA("dato",'[1]tabla dinámica nacionalidad-cat'!$A$4,"indicador","IRLANDA","categoría","1* Y 2 *","año",2010)/GETPIVOTDATA("dato",'[1]tabla dinámica nacionalidad-cat'!$A$4,"indicador","IRLANDA","categoría","1* Y 2 *","año",2009)-1</f>
        <v>5.25</v>
      </c>
      <c r="I14" s="287">
        <f>GETPIVOTDATA("dato",'[1]tabla dinámica nacionalidad-cat'!$A$4,"indicador","IRLANDA","categoría","EXTRAHOTELEROS","año",2010)/GETPIVOTDATA("dato",'[1]tabla dinámica nacionalidad-cat'!$A$4,"indicador","IRLANDA","categoría","EXTRAHOTELEROS","año",2009)-1</f>
        <v>-0.42105263157894735</v>
      </c>
    </row>
    <row r="15" spans="2:9">
      <c r="B15" s="275" t="s">
        <v>167</v>
      </c>
      <c r="C15" s="287">
        <f>GETPIVOTDATA("dato",'[1]tabla dinámica nacionalidad-cat'!$A$4,"indicador","ITALIA","categoría","TOTAL","año",2010)/GETPIVOTDATA("dato",'[1]tabla dinámica nacionalidad-cat'!$A$4,"indicador","ITALIA","categoría","TOTAL","año",2009)-1</f>
        <v>5.0197856920545902E-2</v>
      </c>
      <c r="D15" s="287">
        <f>GETPIVOTDATA("dato",'[1]tabla dinámica nacionalidad-cat'!$A$4,"indicador","ITALIA","categoría","HOTELEROS","año",2010)/GETPIVOTDATA("dato",'[1]tabla dinámica nacionalidad-cat'!$A$4,"indicador","ITALIA","categoría","HOTELEROS","año",2009)-1</f>
        <v>-2.8429365311494537E-2</v>
      </c>
      <c r="E15" s="287">
        <f>GETPIVOTDATA("dato",'[1]tabla dinámica nacionalidad-cat'!$A$4,"indicador","ITALIA","categoría","5 *","año",2010)/GETPIVOTDATA("dato",'[1]tabla dinámica nacionalidad-cat'!$A$4,"indicador","ITALIA","categoría","5 *","año",2009)-1</f>
        <v>5.6206088992974301E-2</v>
      </c>
      <c r="F15" s="287">
        <f>GETPIVOTDATA("dato",'[1]tabla dinámica nacionalidad-cat'!$A$4,"indicador","ITALIA","categoría","4 *","año",2010)/GETPIVOTDATA("dato",'[1]tabla dinámica nacionalidad-cat'!$A$4,"indicador","ITALIA","categoría","4 *","año",2009)-1</f>
        <v>-3.3271719038816983E-2</v>
      </c>
      <c r="G15" s="287">
        <f>GETPIVOTDATA("dato",'[1]tabla dinámica nacionalidad-cat'!$A$4,"indicador","ITALIA","categoría","3 *","año",2010)/GETPIVOTDATA("dato",'[1]tabla dinámica nacionalidad-cat'!$A$4,"indicador","ITALIA","categoría","3 *","año",2009)-1</f>
        <v>-7.1304347826086967E-2</v>
      </c>
      <c r="H15" s="287">
        <f>GETPIVOTDATA("dato",'[1]tabla dinámica nacionalidad-cat'!$A$4,"indicador","ITALIA","categoría","1* Y 2 *","año",2010)/GETPIVOTDATA("dato",'[1]tabla dinámica nacionalidad-cat'!$A$4,"indicador","ITALIA","categoría","1* Y 2 *","año",2009)-1</f>
        <v>0.17543859649122817</v>
      </c>
      <c r="I15" s="287">
        <f>GETPIVOTDATA("dato",'[1]tabla dinámica nacionalidad-cat'!$A$4,"indicador","ITALIA","categoría","EXTRAHOTELEROS","año",2010)/GETPIVOTDATA("dato",'[1]tabla dinámica nacionalidad-cat'!$A$4,"indicador","ITALIA","categoría","EXTRAHOTELEROS","año",2009)-1</f>
        <v>0.29929577464788726</v>
      </c>
    </row>
    <row r="16" spans="2:9">
      <c r="B16" s="273" t="s">
        <v>168</v>
      </c>
      <c r="C16" s="287">
        <f>(GETPIVOTDATA("dato",'[1]tabla dinámica nacionalidad-cat'!$A$4,"indicador","SUECIA","categoría","TOTAL","año",2010)+GETPIVOTDATA("dato",'[1]tabla dinámica nacionalidad-cat'!$A$4,"indicador","NORUEGA","categoría","TOTAL","año",2010)+GETPIVOTDATA("dato",'[1]tabla dinámica nacionalidad-cat'!$A$4,"indicador","DINAMARCA","categoría","TOTAL","año",2010)+GETPIVOTDATA("dato",'[1]tabla dinámica nacionalidad-cat'!$A$4,"indicador","FINLANDIA","categoría","TOTAL","año",2010))/(GETPIVOTDATA("dato",'[1]tabla dinámica nacionalidad-cat'!$A$4,"indicador","SUECIA","categoría","TOTAL","año",2009)+GETPIVOTDATA("dato",'[1]tabla dinámica nacionalidad-cat'!$A$4,"indicador","NORUEGA","categoría","TOTAL","año",2009)+GETPIVOTDATA("dato",'[1]tabla dinámica nacionalidad-cat'!$A$4,"indicador","DINAMARCA","categoría","TOTAL","año",2009)+GETPIVOTDATA("dato",'[1]tabla dinámica nacionalidad-cat'!$A$4,"indicador","FINLANDIA","categoría","TOTAL","año",2009))-1</f>
        <v>-0.14451217050821463</v>
      </c>
      <c r="D16" s="287">
        <f>(GETPIVOTDATA("dato",'[1]tabla dinámica nacionalidad-cat'!$A$4,"indicador","SUECIA","categoría","HOTELEROS","año",2010)+GETPIVOTDATA("dato",'[1]tabla dinámica nacionalidad-cat'!$A$4,"indicador","NORUEGA","categoría","HOTELEROS","año",2010)+GETPIVOTDATA("dato",'[1]tabla dinámica nacionalidad-cat'!$A$4,"indicador","DINAMARCA","categoría","HOTELEROS","año",2010)+GETPIVOTDATA("dato",'[1]tabla dinámica nacionalidad-cat'!$A$4,"indicador","FINLANDIA","categoría","HOTELEROS","año",2010))/(GETPIVOTDATA("dato",'[1]tabla dinámica nacionalidad-cat'!$A$4,"indicador","SUECIA","categoría","HOTELEROS","año",2009)+GETPIVOTDATA("dato",'[1]tabla dinámica nacionalidad-cat'!$A$4,"indicador","NORUEGA","categoría","HOTELEROS","año",2009)+GETPIVOTDATA("dato",'[1]tabla dinámica nacionalidad-cat'!$A$4,"indicador","DINAMARCA","categoría","HOTELEROS","año",2009)+GETPIVOTDATA("dato",'[1]tabla dinámica nacionalidad-cat'!$A$4,"indicador","FINLANDIA","categoría","HOTELEROS","año",2009))-1</f>
        <v>-9.7041829226134579E-2</v>
      </c>
      <c r="E16" s="287">
        <f>(GETPIVOTDATA("dato",'[1]tabla dinámica nacionalidad-cat'!$A$4,"indicador","SUECIA","categoría","5 *","año",2010)+GETPIVOTDATA("dato",'[1]tabla dinámica nacionalidad-cat'!$A$4,"indicador","NORUEGA","categoría","5 *","año",2010)+GETPIVOTDATA("dato",'[1]tabla dinámica nacionalidad-cat'!$A$4,"indicador","DINAMARCA","categoría","5 *","año",2010)+GETPIVOTDATA("dato",'[1]tabla dinámica nacionalidad-cat'!$A$4,"indicador","FINLANDIA","categoría","5 *","año",2010))/(GETPIVOTDATA("dato",'[1]tabla dinámica nacionalidad-cat'!$A$4,"indicador","SUECIA","categoría","5 *","año",2009)+GETPIVOTDATA("dato",'[1]tabla dinámica nacionalidad-cat'!$A$4,"indicador","NORUEGA","categoría","5 *","año",2009)+GETPIVOTDATA("dato",'[1]tabla dinámica nacionalidad-cat'!$A$4,"indicador","DINAMARCA","categoría","5 *","año",2009)+GETPIVOTDATA("dato",'[1]tabla dinámica nacionalidad-cat'!$A$4,"indicador","FINLANDIA","categoría","5 *","año",2009))-1</f>
        <v>3.491755577109612E-2</v>
      </c>
      <c r="F16" s="287">
        <f>(GETPIVOTDATA("dato",'[1]tabla dinámica nacionalidad-cat'!$A$4,"indicador","SUECIA","categoría","4 *","año",2010)+GETPIVOTDATA("dato",'[1]tabla dinámica nacionalidad-cat'!$A$4,"indicador","NORUEGA","categoría","4 *","año",2010)+GETPIVOTDATA("dato",'[1]tabla dinámica nacionalidad-cat'!$A$4,"indicador","DINAMARCA","categoría","4 *","año",2010)+GETPIVOTDATA("dato",'[1]tabla dinámica nacionalidad-cat'!$A$4,"indicador","FINLANDIA","categoría","4 *","año",2010))/(GETPIVOTDATA("dato",'[1]tabla dinámica nacionalidad-cat'!$A$4,"indicador","SUECIA","categoría","4 *","año",2009)+GETPIVOTDATA("dato",'[1]tabla dinámica nacionalidad-cat'!$A$4,"indicador","NORUEGA","categoría","4 *","año",2009)+GETPIVOTDATA("dato",'[1]tabla dinámica nacionalidad-cat'!$A$4,"indicador","DINAMARCA","categoría","4 *","año",2009)+GETPIVOTDATA("dato",'[1]tabla dinámica nacionalidad-cat'!$A$4,"indicador","FINLANDIA","categoría","4 *","año",2009))-1</f>
        <v>-3.5705950991831936E-2</v>
      </c>
      <c r="G16" s="287">
        <f>(GETPIVOTDATA("dato",'[1]tabla dinámica nacionalidad-cat'!$A$4,"indicador","SUECIA","categoría","3 *","año",2010)+GETPIVOTDATA("dato",'[1]tabla dinámica nacionalidad-cat'!$A$4,"indicador","NORUEGA","categoría","3 *","año",2010)+GETPIVOTDATA("dato",'[1]tabla dinámica nacionalidad-cat'!$A$4,"indicador","DINAMARCA","categoría","3 *","año",2010)+GETPIVOTDATA("dato",'[1]tabla dinámica nacionalidad-cat'!$A$4,"indicador","FINLANDIA","categoría","3 *","año",2010))/(GETPIVOTDATA("dato",'[1]tabla dinámica nacionalidad-cat'!$A$4,"indicador","SUECIA","categoría","3 *","año",2009)+GETPIVOTDATA("dato",'[1]tabla dinámica nacionalidad-cat'!$A$4,"indicador","NORUEGA","categoría","3 *","año",2009)+GETPIVOTDATA("dato",'[1]tabla dinámica nacionalidad-cat'!$A$4,"indicador","DINAMARCA","categoría","3 *","año",2009)+GETPIVOTDATA("dato",'[1]tabla dinámica nacionalidad-cat'!$A$4,"indicador","FINLANDIA","categoría","3 *","año",2009))-1</f>
        <v>-0.29006650933276124</v>
      </c>
      <c r="H16" s="287">
        <f>(GETPIVOTDATA("dato",'[1]tabla dinámica nacionalidad-cat'!$A$4,"indicador","SUECIA","categoría","1* Y 2 *","año",2010)+GETPIVOTDATA("dato",'[1]tabla dinámica nacionalidad-cat'!$A$4,"indicador","NORUEGA","categoría","1* Y 2 *","año",2010)+GETPIVOTDATA("dato",'[1]tabla dinámica nacionalidad-cat'!$A$4,"indicador","DINAMARCA","categoría","1* Y 2 *","año",2010)+GETPIVOTDATA("dato",'[1]tabla dinámica nacionalidad-cat'!$A$4,"indicador","FINLANDIA","categoría","1* Y 2 *","año",2010))/(GETPIVOTDATA("dato",'[1]tabla dinámica nacionalidad-cat'!$A$4,"indicador","SUECIA","categoría","1* Y 2 *","año",2009)+GETPIVOTDATA("dato",'[1]tabla dinámica nacionalidad-cat'!$A$4,"indicador","NORUEGA","categoría","1* Y 2 *","año",2009)+GETPIVOTDATA("dato",'[1]tabla dinámica nacionalidad-cat'!$A$4,"indicador","DINAMARCA","categoría","1* Y 2 *","año",2009)+GETPIVOTDATA("dato",'[1]tabla dinámica nacionalidad-cat'!$A$4,"indicador","FINLANDIA","categoría","1* Y 2 *","año",2009))-1</f>
        <v>-0.1116333725029377</v>
      </c>
      <c r="I16" s="287">
        <f>(GETPIVOTDATA("dato",'[1]tabla dinámica nacionalidad-cat'!$A$4,"indicador","SUECIA","categoría","EXTRAHOTELEROS","año",2010)+GETPIVOTDATA("dato",'[1]tabla dinámica nacionalidad-cat'!$A$4,"indicador","NORUEGA","categoría","EXTRAHOTELEROS","año",2010)+GETPIVOTDATA("dato",'[1]tabla dinámica nacionalidad-cat'!$A$4,"indicador","DINAMARCA","categoría","EXTRAHOTELEROS","año",2010)+GETPIVOTDATA("dato",'[1]tabla dinámica nacionalidad-cat'!$A$4,"indicador","FINLANDIA","categoría","EXTRAHOTELEROS","año",2010))/(GETPIVOTDATA("dato",'[1]tabla dinámica nacionalidad-cat'!$A$4,"indicador","SUECIA","categoría","EXTRAHOTELEROS","año",2009)+GETPIVOTDATA("dato",'[1]tabla dinámica nacionalidad-cat'!$A$4,"indicador","NORUEGA","categoría","EXTRAHOTELEROS","año",2009)+GETPIVOTDATA("dato",'[1]tabla dinámica nacionalidad-cat'!$A$4,"indicador","DINAMARCA","categoría","EXTRAHOTELEROS","año",2009)+GETPIVOTDATA("dato",'[1]tabla dinámica nacionalidad-cat'!$A$4,"indicador","FINLANDIA","categoría","EXTRAHOTELEROS","año",2009))-1</f>
        <v>-0.20135418822624995</v>
      </c>
    </row>
    <row r="17" spans="2:9">
      <c r="B17" s="276" t="s">
        <v>169</v>
      </c>
      <c r="C17" s="287">
        <f>GETPIVOTDATA("dato",'[1]tabla dinámica nacionalidad-cat'!$A$4,"indicador","SUECIA","categoría","TOTAL","año",2010)/GETPIVOTDATA("dato",'[1]tabla dinámica nacionalidad-cat'!$A$4,"indicador","SUECIA","categoría","TOTAL","año",2009)-1</f>
        <v>-0.12802935602242027</v>
      </c>
      <c r="D17" s="287">
        <f>GETPIVOTDATA("dato",'[1]tabla dinámica nacionalidad-cat'!$A$4,"indicador","SUECIA","categoría","HOTELEROS","año",2010)/GETPIVOTDATA("dato",'[1]tabla dinámica nacionalidad-cat'!$A$4,"indicador","SUECIA","categoría","HOTELEROS","año",2009)-1</f>
        <v>-0.14674247080516289</v>
      </c>
      <c r="E17" s="287">
        <f>GETPIVOTDATA("dato",'[1]tabla dinámica nacionalidad-cat'!$A$4,"indicador","SUECIA","categoría","5 *","año",2010)/GETPIVOTDATA("dato",'[1]tabla dinámica nacionalidad-cat'!$A$4,"indicador","SUECIA","categoría","5 *","año",2009)-1</f>
        <v>0.302734375</v>
      </c>
      <c r="F17" s="287">
        <f>GETPIVOTDATA("dato",'[1]tabla dinámica nacionalidad-cat'!$A$4,"indicador","SUECIA","categoría","4 *","año",2010)/GETPIVOTDATA("dato",'[1]tabla dinámica nacionalidad-cat'!$A$4,"indicador","SUECIA","categoría","4 *","año",2009)-1</f>
        <v>-0.18717240064805107</v>
      </c>
      <c r="G17" s="287">
        <f>GETPIVOTDATA("dato",'[1]tabla dinámica nacionalidad-cat'!$A$4,"indicador","SUECIA","categoría","3 *","año",2010)/GETPIVOTDATA("dato",'[1]tabla dinámica nacionalidad-cat'!$A$4,"indicador","SUECIA","categoría","3 *","año",2009)-1</f>
        <v>-0.14660831509846828</v>
      </c>
      <c r="H17" s="287">
        <f>GETPIVOTDATA("dato",'[1]tabla dinámica nacionalidad-cat'!$A$4,"indicador","SUECIA","categoría","1* Y 2 *","año",2010)/GETPIVOTDATA("dato",'[1]tabla dinámica nacionalidad-cat'!$A$4,"indicador","SUECIA","categoría","1* Y 2 *","año",2009)-1</f>
        <v>0.91256830601092886</v>
      </c>
      <c r="I17" s="287">
        <f>GETPIVOTDATA("dato",'[1]tabla dinámica nacionalidad-cat'!$A$4,"indicador","SUECIA","categoría","EXTRAHOTELEROS","año",2010)/GETPIVOTDATA("dato",'[1]tabla dinámica nacionalidad-cat'!$A$4,"indicador","SUECIA","categoría","EXTRAHOTELEROS","año",2009)-1</f>
        <v>-0.10735805821946875</v>
      </c>
    </row>
    <row r="18" spans="2:9">
      <c r="B18" s="276" t="s">
        <v>170</v>
      </c>
      <c r="C18" s="287">
        <f>GETPIVOTDATA("dato",'[1]tabla dinámica nacionalidad-cat'!$A$4,"indicador","NORUEGA","categoría","TOTAL","año",2010)/GETPIVOTDATA("dato",'[1]tabla dinámica nacionalidad-cat'!$A$4,"indicador","NORUEGA","categoría","TOTAL","año",2009)-1</f>
        <v>-0.13157317340744534</v>
      </c>
      <c r="D18" s="287">
        <f>GETPIVOTDATA("dato",'[1]tabla dinámica nacionalidad-cat'!$A$4,"indicador","NORUEGA","categoría","HOTELEROS","año",2010)/GETPIVOTDATA("dato",'[1]tabla dinámica nacionalidad-cat'!$A$4,"indicador","NORUEGA","categoría","HOTELEROS","año",2009)-1</f>
        <v>-3.0048076923076872E-2</v>
      </c>
      <c r="E18" s="287">
        <f>GETPIVOTDATA("dato",'[1]tabla dinámica nacionalidad-cat'!$A$4,"indicador","NORUEGA","categoría","5 *","año",2010)/GETPIVOTDATA("dato",'[1]tabla dinámica nacionalidad-cat'!$A$4,"indicador","NORUEGA","categoría","5 *","año",2009)-1</f>
        <v>-9.7807757166947673E-2</v>
      </c>
      <c r="F18" s="287">
        <f>GETPIVOTDATA("dato",'[1]tabla dinámica nacionalidad-cat'!$A$4,"indicador","NORUEGA","categoría","4 *","año",2010)/GETPIVOTDATA("dato",'[1]tabla dinámica nacionalidad-cat'!$A$4,"indicador","NORUEGA","categoría","4 *","año",2009)-1</f>
        <v>4.1887226697353341E-2</v>
      </c>
      <c r="G18" s="287">
        <f>GETPIVOTDATA("dato",'[1]tabla dinámica nacionalidad-cat'!$A$4,"indicador","NORUEGA","categoría","3 *","año",2010)/GETPIVOTDATA("dato",'[1]tabla dinámica nacionalidad-cat'!$A$4,"indicador","NORUEGA","categoría","3 *","año",2009)-1</f>
        <v>-0.39577520924671183</v>
      </c>
      <c r="H18" s="287">
        <f>GETPIVOTDATA("dato",'[1]tabla dinámica nacionalidad-cat'!$A$4,"indicador","NORUEGA","categoría","1* Y 2 *","año",2010)/GETPIVOTDATA("dato",'[1]tabla dinámica nacionalidad-cat'!$A$4,"indicador","NORUEGA","categoría","1* Y 2 *","año",2009)-1</f>
        <v>15.707317073170731</v>
      </c>
      <c r="I18" s="287">
        <f>GETPIVOTDATA("dato",'[1]tabla dinámica nacionalidad-cat'!$A$4,"indicador","NORUEGA","categoría","EXTRAHOTELEROS","año",2010)/GETPIVOTDATA("dato",'[1]tabla dinámica nacionalidad-cat'!$A$4,"indicador","NORUEGA","categoría","EXTRAHOTELEROS","año",2009)-1</f>
        <v>-0.2544866612772837</v>
      </c>
    </row>
    <row r="19" spans="2:9">
      <c r="B19" s="276" t="s">
        <v>171</v>
      </c>
      <c r="C19" s="287">
        <f>GETPIVOTDATA("dato",'[1]tabla dinámica nacionalidad-cat'!$A$4,"indicador","DINAMARCA","categoría","TOTAL","año",2010)/GETPIVOTDATA("dato",'[1]tabla dinámica nacionalidad-cat'!$A$4,"indicador","DINAMARCA","categoría","TOTAL","año",2009)-1</f>
        <v>-0.24872346710554083</v>
      </c>
      <c r="D19" s="287">
        <f>GETPIVOTDATA("dato",'[1]tabla dinámica nacionalidad-cat'!$A$4,"indicador","DINAMARCA","categoría","HOTELEROS","año",2010)/GETPIVOTDATA("dato",'[1]tabla dinámica nacionalidad-cat'!$A$4,"indicador","DINAMARCA","categoría","HOTELEROS","año",2009)-1</f>
        <v>-0.15515098340279299</v>
      </c>
      <c r="E19" s="287">
        <f>GETPIVOTDATA("dato",'[1]tabla dinámica nacionalidad-cat'!$A$4,"indicador","DINAMARCA","categoría","5 *","año",2010)/GETPIVOTDATA("dato",'[1]tabla dinámica nacionalidad-cat'!$A$4,"indicador","DINAMARCA","categoría","5 *","año",2009)-1</f>
        <v>-0.37389380530973448</v>
      </c>
      <c r="F19" s="287">
        <f>GETPIVOTDATA("dato",'[1]tabla dinámica nacionalidad-cat'!$A$4,"indicador","DINAMARCA","categoría","4 *","año",2010)/GETPIVOTDATA("dato",'[1]tabla dinámica nacionalidad-cat'!$A$4,"indicador","DINAMARCA","categoría","4 *","año",2009)-1</f>
        <v>2.860122151050204E-2</v>
      </c>
      <c r="G19" s="287">
        <f>GETPIVOTDATA("dato",'[1]tabla dinámica nacionalidad-cat'!$A$4,"indicador","DINAMARCA","categoría","3 *","año",2010)/GETPIVOTDATA("dato",'[1]tabla dinámica nacionalidad-cat'!$A$4,"indicador","DINAMARCA","categoría","3 *","año",2009)-1</f>
        <v>-0.27400538438528266</v>
      </c>
      <c r="H19" s="287">
        <f>GETPIVOTDATA("dato",'[1]tabla dinámica nacionalidad-cat'!$A$4,"indicador","DINAMARCA","categoría","1* Y 2 *","año",2010)/GETPIVOTDATA("dato",'[1]tabla dinámica nacionalidad-cat'!$A$4,"indicador","DINAMARCA","categoría","1* Y 2 *","año",2009)-1</f>
        <v>-0.38781950142000632</v>
      </c>
      <c r="I19" s="287">
        <f>GETPIVOTDATA("dato",'[1]tabla dinámica nacionalidad-cat'!$A$4,"indicador","DINAMARCA","categoría","EXTRAHOTELEROS","año",2010)/GETPIVOTDATA("dato",'[1]tabla dinámica nacionalidad-cat'!$A$4,"indicador","DINAMARCA","categoría","EXTRAHOTELEROS","año",2009)-1</f>
        <v>-0.37644710578842311</v>
      </c>
    </row>
    <row r="20" spans="2:9">
      <c r="B20" s="276" t="s">
        <v>172</v>
      </c>
      <c r="C20" s="287">
        <f>GETPIVOTDATA("dato",'[1]tabla dinámica nacionalidad-cat'!$A$4,"indicador","FINLANDIA","categoría","TOTAL","año",2010)/GETPIVOTDATA("dato",'[1]tabla dinámica nacionalidad-cat'!$A$4,"indicador","FINLANDIA","categoría","TOTAL","año",2009)-1</f>
        <v>1.0534979423868274E-2</v>
      </c>
      <c r="D20" s="287">
        <f>GETPIVOTDATA("dato",'[1]tabla dinámica nacionalidad-cat'!$A$4,"indicador","FINLANDIA","categoría","HOTELEROS","año",2010)/GETPIVOTDATA("dato",'[1]tabla dinámica nacionalidad-cat'!$A$4,"indicador","FINLANDIA","categoría","HOTELEROS","año",2009)-1</f>
        <v>5.1765078359981009E-2</v>
      </c>
      <c r="E20" s="287">
        <f>GETPIVOTDATA("dato",'[1]tabla dinámica nacionalidad-cat'!$A$4,"indicador","FINLANDIA","categoría","5 *","año",2010)/GETPIVOTDATA("dato",'[1]tabla dinámica nacionalidad-cat'!$A$4,"indicador","FINLANDIA","categoría","5 *","año",2009)-1</f>
        <v>0.28514851485148518</v>
      </c>
      <c r="F20" s="287">
        <f>GETPIVOTDATA("dato",'[1]tabla dinámica nacionalidad-cat'!$A$4,"indicador","FINLANDIA","categoría","4 *","año",2010)/GETPIVOTDATA("dato",'[1]tabla dinámica nacionalidad-cat'!$A$4,"indicador","FINLANDIA","categoría","4 *","año",2009)-1</f>
        <v>0.16157730223611444</v>
      </c>
      <c r="G20" s="287">
        <f>GETPIVOTDATA("dato",'[1]tabla dinámica nacionalidad-cat'!$A$4,"indicador","FINLANDIA","categoría","3 *","año",2010)/GETPIVOTDATA("dato",'[1]tabla dinámica nacionalidad-cat'!$A$4,"indicador","FINLANDIA","categoría","3 *","año",2009)-1</f>
        <v>-0.32095006090133982</v>
      </c>
      <c r="H20" s="287">
        <f>GETPIVOTDATA("dato",'[1]tabla dinámica nacionalidad-cat'!$A$4,"indicador","FINLANDIA","categoría","1* Y 2 *","año",2010)/GETPIVOTDATA("dato",'[1]tabla dinámica nacionalidad-cat'!$A$4,"indicador","FINLANDIA","categoría","1* Y 2 *","año",2009)-1</f>
        <v>3.4545454545454541</v>
      </c>
      <c r="I20" s="287">
        <f>GETPIVOTDATA("dato",'[1]tabla dinámica nacionalidad-cat'!$A$4,"indicador","FINLANDIA","categoría","EXTRAHOTELEROS","año",2010)/GETPIVOTDATA("dato",'[1]tabla dinámica nacionalidad-cat'!$A$4,"indicador","FINLANDIA","categoría","EXTRAHOTELEROS","año",2009)-1</f>
        <v>-3.411623521344076E-2</v>
      </c>
    </row>
    <row r="21" spans="2:9">
      <c r="B21" s="273" t="s">
        <v>173</v>
      </c>
      <c r="C21" s="287">
        <f>GETPIVOTDATA("dato",'[1]tabla dinámica nacionalidad-cat'!$A$4,"indicador","SUIZA","categoría","TOTAL","año",2010)/GETPIVOTDATA("dato",'[1]tabla dinámica nacionalidad-cat'!$A$4,"indicador","SUIZA","categoría","TOTAL","año",2009)-1</f>
        <v>-6.9021518473406651E-3</v>
      </c>
      <c r="D21" s="287">
        <f>GETPIVOTDATA("dato",'[1]tabla dinámica nacionalidad-cat'!$A$4,"indicador","SUIZA","categoría","HOTELEROS","año",2010)/GETPIVOTDATA("dato",'[1]tabla dinámica nacionalidad-cat'!$A$4,"indicador","SUIZA","categoría","HOTELEROS","año",2009)-1</f>
        <v>-2.2553782095766861E-2</v>
      </c>
      <c r="E21" s="287">
        <f>GETPIVOTDATA("dato",'[1]tabla dinámica nacionalidad-cat'!$A$4,"indicador","SUIZA","categoría","5 *","año",2010)/GETPIVOTDATA("dato",'[1]tabla dinámica nacionalidad-cat'!$A$4,"indicador","SUIZA","categoría","5 *","año",2009)-1</f>
        <v>9.8430813124108507E-2</v>
      </c>
      <c r="F21" s="287">
        <f>GETPIVOTDATA("dato",'[1]tabla dinámica nacionalidad-cat'!$A$4,"indicador","SUIZA","categoría","4 *","año",2010)/GETPIVOTDATA("dato",'[1]tabla dinámica nacionalidad-cat'!$A$4,"indicador","SUIZA","categoría","4 *","año",2009)-1</f>
        <v>-5.9120201737181244E-2</v>
      </c>
      <c r="G21" s="287">
        <f>GETPIVOTDATA("dato",'[1]tabla dinámica nacionalidad-cat'!$A$4,"indicador","SUIZA","categoría","3 *","año",2010)/GETPIVOTDATA("dato",'[1]tabla dinámica nacionalidad-cat'!$A$4,"indicador","SUIZA","categoría","3 *","año",2009)-1</f>
        <v>-4.9673202614379131E-2</v>
      </c>
      <c r="H21" s="287">
        <f>GETPIVOTDATA("dato",'[1]tabla dinámica nacionalidad-cat'!$A$4,"indicador","SUIZA","categoría","1* Y 2 *","año",2010)/GETPIVOTDATA("dato",'[1]tabla dinámica nacionalidad-cat'!$A$4,"indicador","SUIZA","categoría","1* Y 2 *","año",2009)-1</f>
        <v>-0.6785714285714286</v>
      </c>
      <c r="I21" s="287">
        <f>GETPIVOTDATA("dato",'[1]tabla dinámica nacionalidad-cat'!$A$4,"indicador","SUIZA","categoría","EXTRAHOTELEROS","año",2010)/GETPIVOTDATA("dato",'[1]tabla dinámica nacionalidad-cat'!$A$4,"indicador","SUIZA","categoría","EXTRAHOTELEROS","año",2009)-1</f>
        <v>4.8615384615384505E-2</v>
      </c>
    </row>
    <row r="22" spans="2:9">
      <c r="B22" s="273" t="s">
        <v>174</v>
      </c>
      <c r="C22" s="287">
        <f>GETPIVOTDATA("dato",'[1]tabla dinámica nacionalidad-cat'!$A$4,"indicador","AUSTRIA","categoría","TOTAL","año",2010)/GETPIVOTDATA("dato",'[1]tabla dinámica nacionalidad-cat'!$A$4,"indicador","AUSTRIA","categoría","TOTAL","año",2009)-1</f>
        <v>0.28805132317562143</v>
      </c>
      <c r="D22" s="287">
        <f>GETPIVOTDATA("dato",'[1]tabla dinámica nacionalidad-cat'!$A$4,"indicador","AUSTRIA","categoría","HOTELEROS","año",2010)/GETPIVOTDATA("dato",'[1]tabla dinámica nacionalidad-cat'!$A$4,"indicador","AUSTRIA","categoría","HOTELEROS","año",2009)-1</f>
        <v>0.20875348637631408</v>
      </c>
      <c r="E22" s="287">
        <f>GETPIVOTDATA("dato",'[1]tabla dinámica nacionalidad-cat'!$A$4,"indicador","AUSTRIA","categoría","5 *","año",2010)/GETPIVOTDATA("dato",'[1]tabla dinámica nacionalidad-cat'!$A$4,"indicador","AUSTRIA","categoría","5 *","año",2009)-1</f>
        <v>-0.1933701657458563</v>
      </c>
      <c r="F22" s="287">
        <f>GETPIVOTDATA("dato",'[1]tabla dinámica nacionalidad-cat'!$A$4,"indicador","AUSTRIA","categoría","4 *","año",2010)/GETPIVOTDATA("dato",'[1]tabla dinámica nacionalidad-cat'!$A$4,"indicador","AUSTRIA","categoría","4 *","año",2009)-1</f>
        <v>0.36378682555445208</v>
      </c>
      <c r="G22" s="287">
        <f>GETPIVOTDATA("dato",'[1]tabla dinámica nacionalidad-cat'!$A$4,"indicador","AUSTRIA","categoría","3 *","año",2010)/GETPIVOTDATA("dato",'[1]tabla dinámica nacionalidad-cat'!$A$4,"indicador","AUSTRIA","categoría","3 *","año",2009)-1</f>
        <v>0.32602739726027408</v>
      </c>
      <c r="H22" s="287">
        <f>GETPIVOTDATA("dato",'[1]tabla dinámica nacionalidad-cat'!$A$4,"indicador","AUSTRIA","categoría","1* Y 2 *","año",2010)/GETPIVOTDATA("dato",'[1]tabla dinámica nacionalidad-cat'!$A$4,"indicador","AUSTRIA","categoría","1* Y 2 *","año",2009)-1</f>
        <v>0</v>
      </c>
      <c r="I22" s="287">
        <f>GETPIVOTDATA("dato",'[1]tabla dinámica nacionalidad-cat'!$A$4,"indicador","AUSTRIA","categoría","EXTRAHOTELEROS","año",2010)/GETPIVOTDATA("dato",'[1]tabla dinámica nacionalidad-cat'!$A$4,"indicador","AUSTRIA","categoría","EXTRAHOTELEROS","año",2009)-1</f>
        <v>0.52287166454891998</v>
      </c>
    </row>
    <row r="23" spans="2:9">
      <c r="B23" s="273" t="s">
        <v>175</v>
      </c>
      <c r="C23" s="287">
        <f>GETPIVOTDATA("dato",'[1]tabla dinámica nacionalidad-cat'!$A$4,"indicador","RUSIA","categoría","TOTAL","año",2010)/GETPIVOTDATA("dato",'[1]tabla dinámica nacionalidad-cat'!$A$4,"indicador","RUSIA","categoría","TOTAL","año",2009)-1</f>
        <v>0.15979684351914036</v>
      </c>
      <c r="D23" s="287">
        <f>GETPIVOTDATA("dato",'[1]tabla dinámica nacionalidad-cat'!$A$4,"indicador","RUSIA","categoría","HOTELEROS","año",2010)/GETPIVOTDATA("dato",'[1]tabla dinámica nacionalidad-cat'!$A$4,"indicador","RUSIA","categoría","HOTELEROS","año",2009)-1</f>
        <v>-1.7902813299232712E-2</v>
      </c>
      <c r="E23" s="287">
        <f>GETPIVOTDATA("dato",'[1]tabla dinámica nacionalidad-cat'!$A$4,"indicador","RUSIA","categoría","5 *","año",2010)/GETPIVOTDATA("dato",'[1]tabla dinámica nacionalidad-cat'!$A$4,"indicador","RUSIA","categoría","5 *","año",2009)-1</f>
        <v>-5.1975603288252459E-2</v>
      </c>
      <c r="F23" s="287">
        <f>GETPIVOTDATA("dato",'[1]tabla dinámica nacionalidad-cat'!$A$4,"indicador","RUSIA","categoría","4 *","año",2010)/GETPIVOTDATA("dato",'[1]tabla dinámica nacionalidad-cat'!$A$4,"indicador","RUSIA","categoría","4 *","año",2009)-1</f>
        <v>-2.6007139214686337E-2</v>
      </c>
      <c r="G23" s="287">
        <f>GETPIVOTDATA("dato",'[1]tabla dinámica nacionalidad-cat'!$A$4,"indicador","RUSIA","categoría","3 *","año",2010)/GETPIVOTDATA("dato",'[1]tabla dinámica nacionalidad-cat'!$A$4,"indicador","RUSIA","categoría","3 *","año",2009)-1</f>
        <v>-0.11234764175940648</v>
      </c>
      <c r="H23" s="287">
        <f>GETPIVOTDATA("dato",'[1]tabla dinámica nacionalidad-cat'!$A$4,"indicador","RUSIA","categoría","1* Y 2 *","año",2010)/GETPIVOTDATA("dato",'[1]tabla dinámica nacionalidad-cat'!$A$4,"indicador","RUSIA","categoría","1* Y 2 *","año",2009)-1</f>
        <v>1.8571428571428572</v>
      </c>
      <c r="I23" s="287">
        <f>GETPIVOTDATA("dato",'[1]tabla dinámica nacionalidad-cat'!$A$4,"indicador","RUSIA","categoría","EXTRAHOTELEROS","año",2010)/GETPIVOTDATA("dato",'[1]tabla dinámica nacionalidad-cat'!$A$4,"indicador","RUSIA","categoría","EXTRAHOTELEROS","año",2009)-1</f>
        <v>0.33214817264759389</v>
      </c>
    </row>
    <row r="24" spans="2:9">
      <c r="B24" s="277" t="s">
        <v>176</v>
      </c>
      <c r="C24" s="287">
        <f>GETPIVOTDATA("dato",'[1]tabla dinámica nacionalidad-cat'!$A$4,"indicador","PAÍSES DEL ESTE","categoría","TOTAL","año",2010)/GETPIVOTDATA("dato",'[1]tabla dinámica nacionalidad-cat'!$A$4,"indicador","PAÍSES DEL ESTE","categoría","TOTAL","año",2009)-1</f>
        <v>-9.8308739303281434E-2</v>
      </c>
      <c r="D24" s="287">
        <f>GETPIVOTDATA("dato",'[1]tabla dinámica nacionalidad-cat'!$A$4,"indicador","PAÍSES DEL ESTE","categoría","HOTELEROS","año",2010)/GETPIVOTDATA("dato",'[1]tabla dinámica nacionalidad-cat'!$A$4,"indicador","PAÍSES DEL ESTE","categoría","HOTELEROS","año",2009)-1</f>
        <v>7.1697816868226738E-2</v>
      </c>
      <c r="E24" s="287">
        <f>GETPIVOTDATA("dato",'[1]tabla dinámica nacionalidad-cat'!$A$4,"indicador","PAÍSES DEL ESTE","categoría","5 *","año",2010)/GETPIVOTDATA("dato",'[1]tabla dinámica nacionalidad-cat'!$A$4,"indicador","PAÍSES DEL ESTE","categoría","5 *","año",2009)-1</f>
        <v>-0.32459178624443341</v>
      </c>
      <c r="F24" s="287">
        <f>GETPIVOTDATA("dato",'[1]tabla dinámica nacionalidad-cat'!$A$4,"indicador","PAÍSES DEL ESTE","categoría","4 *","año",2010)/GETPIVOTDATA("dato",'[1]tabla dinámica nacionalidad-cat'!$A$4,"indicador","PAÍSES DEL ESTE","categoría","4 *","año",2009)-1</f>
        <v>0.25431357839459867</v>
      </c>
      <c r="G24" s="287">
        <f>GETPIVOTDATA("dato",'[1]tabla dinámica nacionalidad-cat'!$A$4,"indicador","PAÍSES DEL ESTE","categoría","3 *","año",2010)/GETPIVOTDATA("dato",'[1]tabla dinámica nacionalidad-cat'!$A$4,"indicador","PAÍSES DEL ESTE","categoría","3 *","año",2009)-1</f>
        <v>-0.14319157237612168</v>
      </c>
      <c r="H24" s="287">
        <f>GETPIVOTDATA("dato",'[1]tabla dinámica nacionalidad-cat'!$A$4,"indicador","PAÍSES DEL ESTE","categoría","1* Y 2 *","año",2010)/GETPIVOTDATA("dato",'[1]tabla dinámica nacionalidad-cat'!$A$4,"indicador","PAÍSES DEL ESTE","categoría","1* Y 2 *","año",2009)-1</f>
        <v>-0.64473684210526316</v>
      </c>
      <c r="I24" s="287">
        <f>GETPIVOTDATA("dato",'[1]tabla dinámica nacionalidad-cat'!$A$4,"indicador","PAÍSES DEL ESTE","categoría","EXTRAHOTELEROS","año",2010)/GETPIVOTDATA("dato",'[1]tabla dinámica nacionalidad-cat'!$A$4,"indicador","PAÍSES DEL ESTE","categoría","EXTRAHOTELEROS","año",2009)-1</f>
        <v>-0.22604437101722918</v>
      </c>
    </row>
    <row r="25" spans="2:9">
      <c r="B25" s="277" t="s">
        <v>177</v>
      </c>
      <c r="C25" s="287">
        <f>GETPIVOTDATA("dato",'[1]tabla dinámica nacionalidad-cat'!$A$4,"indicador","RESTO DE EUROPA","categoría","TOTAL","año",2010)/GETPIVOTDATA("dato",'[1]tabla dinámica nacionalidad-cat'!$A$4,"indicador","RESTO DE EUROPA","categoría","TOTAL","año",2009)-1</f>
        <v>4.930199681922609E-2</v>
      </c>
      <c r="D25" s="287">
        <f>GETPIVOTDATA("dato",'[1]tabla dinámica nacionalidad-cat'!$A$4,"indicador","RESTO DE EUROPA","categoría","HOTELEROS","año",2010)/GETPIVOTDATA("dato",'[1]tabla dinámica nacionalidad-cat'!$A$4,"indicador","RESTO DE EUROPA","categoría","HOTELEROS","año",2009)-1</f>
        <v>0.10520195838433288</v>
      </c>
      <c r="E25" s="287">
        <f>GETPIVOTDATA("dato",'[1]tabla dinámica nacionalidad-cat'!$A$4,"indicador","RESTO DE EUROPA","categoría","5 *","año",2010)/GETPIVOTDATA("dato",'[1]tabla dinámica nacionalidad-cat'!$A$4,"indicador","RESTO DE EUROPA","categoría","5 *","año",2009)-1</f>
        <v>0.12337217272104173</v>
      </c>
      <c r="F25" s="287">
        <f>GETPIVOTDATA("dato",'[1]tabla dinámica nacionalidad-cat'!$A$4,"indicador","RESTO DE EUROPA","categoría","4 *","año",2010)/GETPIVOTDATA("dato",'[1]tabla dinámica nacionalidad-cat'!$A$4,"indicador","RESTO DE EUROPA","categoría","4 *","año",2009)-1</f>
        <v>0.22708928044098831</v>
      </c>
      <c r="G25" s="287">
        <f>GETPIVOTDATA("dato",'[1]tabla dinámica nacionalidad-cat'!$A$4,"indicador","RESTO DE EUROPA","categoría","3 *","año",2010)/GETPIVOTDATA("dato",'[1]tabla dinámica nacionalidad-cat'!$A$4,"indicador","RESTO DE EUROPA","categoría","3 *","año",2009)-1</f>
        <v>-0.15501389779773356</v>
      </c>
      <c r="H25" s="287">
        <f>GETPIVOTDATA("dato",'[1]tabla dinámica nacionalidad-cat'!$A$4,"indicador","RESTO DE EUROPA","categoría","1* Y 2 *","año",2010)/GETPIVOTDATA("dato",'[1]tabla dinámica nacionalidad-cat'!$A$4,"indicador","RESTO DE EUROPA","categoría","1* Y 2 *","año",2009)-1</f>
        <v>-0.9555555555555556</v>
      </c>
      <c r="I25" s="287">
        <f>GETPIVOTDATA("dato",'[1]tabla dinámica nacionalidad-cat'!$A$4,"indicador","RESTO DE EUROPA","categoría","EXTRAHOTELEROS","año",2010)/GETPIVOTDATA("dato",'[1]tabla dinámica nacionalidad-cat'!$A$4,"indicador","RESTO DE EUROPA","categoría","EXTRAHOTELEROS","año",2009)-1</f>
        <v>-9.5775095298602286E-2</v>
      </c>
    </row>
    <row r="26" spans="2:9">
      <c r="B26" s="231" t="s">
        <v>178</v>
      </c>
      <c r="C26" s="287">
        <f>GETPIVOTDATA("dato",'[1]tabla dinámica nacionalidad-cat'!$A$4,"indicador","USA","categoría","TOTAL","año",2010)/GETPIVOTDATA("dato",'[1]tabla dinámica nacionalidad-cat'!$A$4,"indicador","USA","categoría","TOTAL","año",2009)-1</f>
        <v>5.3208996160175603E-2</v>
      </c>
      <c r="D26" s="287">
        <f>GETPIVOTDATA("dato",'[1]tabla dinámica nacionalidad-cat'!$A$4,"indicador","USA","categoría","HOTELEROS","año",2010)/GETPIVOTDATA("dato",'[1]tabla dinámica nacionalidad-cat'!$A$4,"indicador","USA","categoría","HOTELEROS","año",2009)-1</f>
        <v>0.17298347910592815</v>
      </c>
      <c r="E26" s="287">
        <f>GETPIVOTDATA("dato",'[1]tabla dinámica nacionalidad-cat'!$A$4,"indicador","USA","categoría","5 *","año",2010)/GETPIVOTDATA("dato",'[1]tabla dinámica nacionalidad-cat'!$A$4,"indicador","USA","categoría","5 *","año",2009)-1</f>
        <v>0.35972850678733037</v>
      </c>
      <c r="F26" s="287">
        <f>GETPIVOTDATA("dato",'[1]tabla dinámica nacionalidad-cat'!$A$4,"indicador","USA","categoría","4 *","año",2010)/GETPIVOTDATA("dato",'[1]tabla dinámica nacionalidad-cat'!$A$4,"indicador","USA","categoría","4 *","año",2009)-1</f>
        <v>9.6646942800789004E-2</v>
      </c>
      <c r="G26" s="287">
        <f>GETPIVOTDATA("dato",'[1]tabla dinámica nacionalidad-cat'!$A$4,"indicador","USA","categoría","3 *","año",2010)/GETPIVOTDATA("dato",'[1]tabla dinámica nacionalidad-cat'!$A$4,"indicador","USA","categoría","3 *","año",2009)-1</f>
        <v>-0.42500000000000004</v>
      </c>
      <c r="H26" s="287" t="str">
        <f>IFERROR(GETPIVOTDATA("dato",'[1]tabla dinámica nacionalidad-cat'!$A$4,"indicador","USA","categoría","1* Y 2 *","año",2010)/GETPIVOTDATA("dato",'[1]tabla dinámica nacionalidad-cat'!$A$4,"indicador","USA","categoría","1* Y 2 *","año",2009)-1,"-")</f>
        <v>-</v>
      </c>
      <c r="I26" s="287">
        <f>GETPIVOTDATA("dato",'[1]tabla dinámica nacionalidad-cat'!$A$4,"indicador","USA","categoría","EXTRAHOTELEROS","año",2010)/GETPIVOTDATA("dato",'[1]tabla dinámica nacionalidad-cat'!$A$4,"indicador","USA","categoría","EXTRAHOTELEROS","año",2009)-1</f>
        <v>-0.10201511335012592</v>
      </c>
    </row>
    <row r="27" spans="2:9">
      <c r="B27" s="277" t="s">
        <v>179</v>
      </c>
      <c r="C27" s="287">
        <f>GETPIVOTDATA("dato",'[1]tabla dinámica nacionalidad-cat'!$A$4,"indicador","RESTO DE AMÉRICA","categoría","TOTAL","año",2010)/GETPIVOTDATA("dato",'[1]tabla dinámica nacionalidad-cat'!$A$4,"indicador","RESTO DE AMÉRICA","categoría","TOTAL","año",2009)-1</f>
        <v>-0.13831967213114749</v>
      </c>
      <c r="D27" s="287">
        <f>GETPIVOTDATA("dato",'[1]tabla dinámica nacionalidad-cat'!$A$4,"indicador","RESTO DE AMÉRICA","categoría","HOTELEROS","año",2010)/GETPIVOTDATA("dato",'[1]tabla dinámica nacionalidad-cat'!$A$4,"indicador","RESTO DE AMÉRICA","categoría","HOTELEROS","año",2009)-1</f>
        <v>-0.14007220216606497</v>
      </c>
      <c r="E27" s="287">
        <f>GETPIVOTDATA("dato",'[1]tabla dinámica nacionalidad-cat'!$A$4,"indicador","RESTO DE AMÉRICA","categoría","5 *","año",2010)/GETPIVOTDATA("dato",'[1]tabla dinámica nacionalidad-cat'!$A$4,"indicador","RESTO DE AMÉRICA","categoría","5 *","año",2009)-1</f>
        <v>0.759493670886076</v>
      </c>
      <c r="F27" s="287">
        <f>GETPIVOTDATA("dato",'[1]tabla dinámica nacionalidad-cat'!$A$4,"indicador","RESTO DE AMÉRICA","categoría","4 *","año",2010)/GETPIVOTDATA("dato",'[1]tabla dinámica nacionalidad-cat'!$A$4,"indicador","RESTO DE AMÉRICA","categoría","4 *","año",2009)-1</f>
        <v>-0.30371713508612874</v>
      </c>
      <c r="G27" s="287">
        <f>GETPIVOTDATA("dato",'[1]tabla dinámica nacionalidad-cat'!$A$4,"indicador","RESTO DE AMÉRICA","categoría","3 *","año",2010)/GETPIVOTDATA("dato",'[1]tabla dinámica nacionalidad-cat'!$A$4,"indicador","RESTO DE AMÉRICA","categoría","3 *","año",2009)-1</f>
        <v>0.15254237288135597</v>
      </c>
      <c r="H27" s="287">
        <f>GETPIVOTDATA("dato",'[1]tabla dinámica nacionalidad-cat'!$A$4,"indicador","RESTO DE AMÉRICA","categoría","1* Y 2 *","año",2010)/GETPIVOTDATA("dato",'[1]tabla dinámica nacionalidad-cat'!$A$4,"indicador","RESTO DE AMÉRICA","categoría","1* Y 2 *","año",2009)-1</f>
        <v>0.5</v>
      </c>
      <c r="I27" s="287">
        <f>GETPIVOTDATA("dato",'[1]tabla dinámica nacionalidad-cat'!$A$4,"indicador","RESTO DE AMÉRICA","categoría","EXTRAHOTELEROS","año",2010)/GETPIVOTDATA("dato",'[1]tabla dinámica nacionalidad-cat'!$A$4,"indicador","RESTO DE AMÉRICA","categoría","EXTRAHOTELEROS","año",2009)-1</f>
        <v>-0.13403880070546736</v>
      </c>
    </row>
    <row r="28" spans="2:9">
      <c r="B28" s="277" t="s">
        <v>180</v>
      </c>
      <c r="C28" s="287">
        <f>GETPIVOTDATA("dato",'[1]tabla dinámica nacionalidad-cat'!$A$4,"indicador","RESTO DEL MUNDO","categoría","TOTAL","año",2010)/GETPIVOTDATA("dato",'[1]tabla dinámica nacionalidad-cat'!$A$4,"indicador","RESTO DEL MUNDO","categoría","TOTAL","año",2009)-1</f>
        <v>0.71399696816574032</v>
      </c>
      <c r="D28" s="287">
        <f>GETPIVOTDATA("dato",'[1]tabla dinámica nacionalidad-cat'!$A$4,"indicador","RESTO DEL MUNDO","categoría","HOTELEROS","año",2010)/GETPIVOTDATA("dato",'[1]tabla dinámica nacionalidad-cat'!$A$4,"indicador","RESTO DEL MUNDO","categoría","HOTELEROS","año",2009)-1</f>
        <v>0.82689950980392157</v>
      </c>
      <c r="E28" s="287">
        <f>GETPIVOTDATA("dato",'[1]tabla dinámica nacionalidad-cat'!$A$4,"indicador","RESTO DEL MUNDO","categoría","5 *","año",2010)/GETPIVOTDATA("dato",'[1]tabla dinámica nacionalidad-cat'!$A$4,"indicador","RESTO DEL MUNDO","categoría","5 *","año",2009)-1</f>
        <v>-0.27061503416856492</v>
      </c>
      <c r="F28" s="287">
        <f>GETPIVOTDATA("dato",'[1]tabla dinámica nacionalidad-cat'!$A$4,"indicador","RESTO DEL MUNDO","categoría","4 *","año",2010)/GETPIVOTDATA("dato",'[1]tabla dinámica nacionalidad-cat'!$A$4,"indicador","RESTO DEL MUNDO","categoría","4 *","año",2009)-1</f>
        <v>2.8177028451001052</v>
      </c>
      <c r="G28" s="287">
        <f>GETPIVOTDATA("dato",'[1]tabla dinámica nacionalidad-cat'!$A$4,"indicador","RESTO DEL MUNDO","categoría","3 *","año",2010)/GETPIVOTDATA("dato",'[1]tabla dinámica nacionalidad-cat'!$A$4,"indicador","RESTO DEL MUNDO","categoría","3 *","año",2009)-1</f>
        <v>4.2019230769230766</v>
      </c>
      <c r="H28" s="287">
        <f>GETPIVOTDATA("dato",'[1]tabla dinámica nacionalidad-cat'!$A$4,"indicador","RESTO DEL MUNDO","categoría","1* Y 2 *","año",2010)/GETPIVOTDATA("dato",'[1]tabla dinámica nacionalidad-cat'!$A$4,"indicador","RESTO DEL MUNDO","categoría","1* Y 2 *","año",2009)-1</f>
        <v>11.375</v>
      </c>
      <c r="I28" s="287">
        <f>GETPIVOTDATA("dato",'[1]tabla dinámica nacionalidad-cat'!$A$4,"indicador","RESTO DEL MUNDO","categoría","EXTRAHOTELEROS","año",2010)/GETPIVOTDATA("dato",'[1]tabla dinámica nacionalidad-cat'!$A$4,"indicador","RESTO DEL MUNDO","categoría","EXTRAHOTELEROS","año",2009)-1</f>
        <v>0.18299711815561959</v>
      </c>
    </row>
    <row r="29" spans="2:9">
      <c r="B29" s="288" t="s">
        <v>181</v>
      </c>
      <c r="C29" s="289">
        <f>(GETPIVOTDATA("dato",'[1]tabla dinámica nacionalidad-cat'!$A$4,"indicador","TOTAL","categoría","TOTAL","año",2010)-GETPIVOTDATA("dato",'[1]tabla dinámica nacionalidad-cat'!$A$4,"indicador","España","categoría","TOTAL","año",2010))/(GETPIVOTDATA("dato",'[1]tabla dinámica nacionalidad-cat'!$A$4,"indicador","TOTAL","categoría","TOTAL","año",2009)-GETPIVOTDATA("dato",'[1]tabla dinámica nacionalidad-cat'!$A$4,"indicador","España","categoría","TOTAL","año",2009))-1</f>
        <v>1.1097074830203058E-2</v>
      </c>
      <c r="D29" s="289">
        <f>(GETPIVOTDATA("dato",'[1]tabla dinámica nacionalidad-cat'!$A$4,"indicador","TOTAL","categoría","hoteleros","año",2010)-GETPIVOTDATA("dato",'[1]tabla dinámica nacionalidad-cat'!$A$4,"indicador","España","categoría","hoteleros","año",2010))/(GETPIVOTDATA("dato",'[1]tabla dinámica nacionalidad-cat'!$A$4,"indicador","TOTAL","categoría","hoteleros","año",2009)-GETPIVOTDATA("dato",'[1]tabla dinámica nacionalidad-cat'!$A$4,"indicador","España","categoría","hoteleros","año",2009))-1</f>
        <v>5.4282477999477274E-2</v>
      </c>
      <c r="E29" s="289">
        <f>(GETPIVOTDATA("dato",'[1]tabla dinámica nacionalidad-cat'!$A$4,"indicador","TOTAL","categoría","5 *","año",2010)-GETPIVOTDATA("dato",'[1]tabla dinámica nacionalidad-cat'!$A$4,"indicador","España","categoría","5 *","año",2010))/(GETPIVOTDATA("dato",'[1]tabla dinámica nacionalidad-cat'!$A$4,"indicador","TOTAL","categoría","5 *","año",2009)-GETPIVOTDATA("dato",'[1]tabla dinámica nacionalidad-cat'!$A$4,"indicador","España","categoría","5 *","año",2009))-1</f>
        <v>0.11290103214301905</v>
      </c>
      <c r="F29" s="289">
        <f>(GETPIVOTDATA("dato",'[1]tabla dinámica nacionalidad-cat'!$A$4,"indicador","TOTAL","categoría","4 *","año",2010)-GETPIVOTDATA("dato",'[1]tabla dinámica nacionalidad-cat'!$A$4,"indicador","España","categoría","4 *","año",2010))/(GETPIVOTDATA("dato",'[1]tabla dinámica nacionalidad-cat'!$A$4,"indicador","TOTAL","categoría","4 *","año",2009)-GETPIVOTDATA("dato",'[1]tabla dinámica nacionalidad-cat'!$A$4,"indicador","España","categoría","4 *","año",2009))-1</f>
        <v>9.9184246446846647E-2</v>
      </c>
      <c r="G29" s="289">
        <f>(GETPIVOTDATA("dato",'[1]tabla dinámica nacionalidad-cat'!$A$4,"indicador","TOTAL","categoría","3 *","año",2010)-GETPIVOTDATA("dato",'[1]tabla dinámica nacionalidad-cat'!$A$4,"indicador","España","categoría","3 *","año",2010))/(GETPIVOTDATA("dato",'[1]tabla dinámica nacionalidad-cat'!$A$4,"indicador","TOTAL","categoría","3 *","año",2009)-GETPIVOTDATA("dato",'[1]tabla dinámica nacionalidad-cat'!$A$4,"indicador","España","categoría","3 *","año",2009))-1</f>
        <v>-0.1692636072572038</v>
      </c>
      <c r="H29" s="289">
        <f>(GETPIVOTDATA("dato",'[1]tabla dinámica nacionalidad-cat'!$A$4,"indicador","TOTAL","categoría","1* y 2 *","año",2010)-GETPIVOTDATA("dato",'[1]tabla dinámica nacionalidad-cat'!$A$4,"indicador","España","categoría","1* y 2 *","año",2010))/(GETPIVOTDATA("dato",'[1]tabla dinámica nacionalidad-cat'!$A$4,"indicador","TOTAL","categoría","1* y 2 *","año",2009)-GETPIVOTDATA("dato",'[1]tabla dinámica nacionalidad-cat'!$A$4,"indicador","España","categoría","1* y 2 *","año",2009))-1</f>
        <v>-5.9988616960728547E-2</v>
      </c>
      <c r="I29" s="289">
        <f>(GETPIVOTDATA("dato",'[1]tabla dinámica nacionalidad-cat'!$A$4,"indicador","TOTAL","categoría","extrahoteleros","año",2010)-GETPIVOTDATA("dato",'[1]tabla dinámica nacionalidad-cat'!$A$4,"indicador","España","categoría","extrahoteleros","año",2010))/(GETPIVOTDATA("dato",'[1]tabla dinámica nacionalidad-cat'!$A$4,"indicador","TOTAL","categoría","extrahoteleros","año",2009)-GETPIVOTDATA("dato",'[1]tabla dinámica nacionalidad-cat'!$A$4,"indicador","España","categoría","extrahoteleros","año",2009))-1</f>
        <v>-5.6398541522685752E-2</v>
      </c>
    </row>
    <row r="30" spans="2:9">
      <c r="B30" s="281" t="s">
        <v>107</v>
      </c>
      <c r="C30" s="290">
        <f>GETPIVOTDATA("dato",'[1]tabla dinámica nacionalidad-cat'!$A$4,"indicador","TOTAL","categoría","TOTAL","año",2010)/GETPIVOTDATA("dato",'[1]tabla dinámica nacionalidad-cat'!$A$4,"indicador","TOTAL","categoría","TOTAL","año",2009)-1</f>
        <v>3.4725819854985795E-2</v>
      </c>
      <c r="D30" s="290">
        <f>GETPIVOTDATA("dato",'[1]tabla dinámica nacionalidad-cat'!$A$4,"indicador","TOTAL","categoría","HOTELEROS","año",2010)/GETPIVOTDATA("dato",'[1]tabla dinámica nacionalidad-cat'!$A$4,"indicador","TOTAL","categoría","HOTELEROS","año",2009)-1</f>
        <v>6.3966184229217848E-2</v>
      </c>
      <c r="E30" s="290">
        <f>GETPIVOTDATA("dato",'[1]tabla dinámica nacionalidad-cat'!$A$4,"indicador","TOTAL","categoría","5 *","año",2010)/GETPIVOTDATA("dato",'[1]tabla dinámica nacionalidad-cat'!$A$4,"indicador","TOTAL","categoría","5 *","año",2009)-1</f>
        <v>0.12144022231619656</v>
      </c>
      <c r="F30" s="290">
        <f>GETPIVOTDATA("dato",'[1]tabla dinámica nacionalidad-cat'!$A$4,"indicador","TOTAL","categoría","4 *","año",2010)/GETPIVOTDATA("dato",'[1]tabla dinámica nacionalidad-cat'!$A$4,"indicador","TOTAL","categoría","4 *","año",2009)-1</f>
        <v>9.9755903158314174E-2</v>
      </c>
      <c r="G30" s="290">
        <f>GETPIVOTDATA("dato",'[1]tabla dinámica nacionalidad-cat'!$A$4,"indicador","TOTAL","categoría","3 *","año",2010)/GETPIVOTDATA("dato",'[1]tabla dinámica nacionalidad-cat'!$A$4,"indicador","TOTAL","categoría","3 *","año",2009)-1</f>
        <v>-0.10454414983315996</v>
      </c>
      <c r="H30" s="290">
        <f>GETPIVOTDATA("dato",'[1]tabla dinámica nacionalidad-cat'!$A$4,"indicador","TOTAL","categoría","1* Y 2 *","año",2010)/GETPIVOTDATA("dato",'[1]tabla dinámica nacionalidad-cat'!$A$4,"indicador","TOTAL","categoría","1* Y 2 *","año",2009)-1</f>
        <v>2.8855103940428117E-2</v>
      </c>
      <c r="I30" s="290">
        <f>GETPIVOTDATA("dato",'[1]tabla dinámica nacionalidad-cat'!$A$4,"indicador","TOTAL","categoría","EXTRAHOTELEROS","año",2010)/GETPIVOTDATA("dato",'[1]tabla dinámica nacionalidad-cat'!$A$4,"indicador","TOTAL","categoría","EXTRAHOTELEROS","año",2009)-1</f>
        <v>-1.7271765949947171E-2</v>
      </c>
    </row>
    <row r="31" spans="2:9">
      <c r="B31" s="283" t="s">
        <v>90</v>
      </c>
      <c r="C31" s="284"/>
      <c r="D31" s="284"/>
      <c r="E31" s="284"/>
      <c r="F31" s="284"/>
      <c r="G31" s="284"/>
      <c r="H31" s="284"/>
      <c r="I31" s="285"/>
    </row>
  </sheetData>
  <mergeCells count="7">
    <mergeCell ref="B31:I31"/>
    <mergeCell ref="B4:I4"/>
    <mergeCell ref="B5:I5"/>
    <mergeCell ref="B6:B7"/>
    <mergeCell ref="C6:C7"/>
    <mergeCell ref="D6:H6"/>
    <mergeCell ref="I6:I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5:I32"/>
  <sheetViews>
    <sheetView showGridLines="0" showRowColHeaders="0" zoomScaleNormal="100" workbookViewId="0">
      <selection activeCell="B25" sqref="B25"/>
    </sheetView>
  </sheetViews>
  <sheetFormatPr baseColWidth="10" defaultRowHeight="14.25" customHeight="1"/>
  <cols>
    <col min="1" max="1" width="15.7109375" customWidth="1"/>
    <col min="2" max="2" width="16.7109375" customWidth="1"/>
    <col min="3" max="3" width="11.7109375" bestFit="1" customWidth="1"/>
    <col min="4" max="4" width="12.140625" bestFit="1" customWidth="1"/>
    <col min="5" max="5" width="11.7109375" bestFit="1" customWidth="1"/>
    <col min="6" max="6" width="12.140625" bestFit="1" customWidth="1"/>
    <col min="7" max="7" width="11.7109375" bestFit="1" customWidth="1"/>
    <col min="8" max="8" width="11.28515625" customWidth="1"/>
    <col min="9" max="9" width="12.5703125" customWidth="1"/>
  </cols>
  <sheetData>
    <row r="5" spans="2:9" ht="30" customHeight="1">
      <c r="B5" s="258" t="s">
        <v>196</v>
      </c>
      <c r="C5" s="259"/>
      <c r="D5" s="259"/>
      <c r="E5" s="259"/>
      <c r="F5" s="259"/>
      <c r="G5" s="259"/>
      <c r="H5" s="259"/>
      <c r="I5" s="260"/>
    </row>
    <row r="6" spans="2:9" ht="14.25" customHeight="1">
      <c r="B6" s="262" t="str">
        <f>actualizaciones!A2</f>
        <v xml:space="preserve">acumulado julio 2010 </v>
      </c>
      <c r="C6" s="263"/>
      <c r="D6" s="263"/>
      <c r="E6" s="263"/>
      <c r="F6" s="263"/>
      <c r="G6" s="263"/>
      <c r="H6" s="263"/>
      <c r="I6" s="264"/>
    </row>
    <row r="7" spans="2:9" ht="14.25" customHeight="1">
      <c r="B7" s="265" t="s">
        <v>158</v>
      </c>
      <c r="C7" s="266" t="s">
        <v>93</v>
      </c>
      <c r="D7" s="266" t="s">
        <v>188</v>
      </c>
      <c r="E7" s="266"/>
      <c r="F7" s="266"/>
      <c r="G7" s="266"/>
      <c r="H7" s="266"/>
      <c r="I7" s="267" t="s">
        <v>189</v>
      </c>
    </row>
    <row r="8" spans="2:9" ht="24.75" customHeight="1">
      <c r="B8" s="265"/>
      <c r="C8" s="268"/>
      <c r="D8" s="269" t="s">
        <v>190</v>
      </c>
      <c r="E8" s="269" t="s">
        <v>191</v>
      </c>
      <c r="F8" s="269" t="s">
        <v>192</v>
      </c>
      <c r="G8" s="269" t="s">
        <v>193</v>
      </c>
      <c r="H8" s="269" t="s">
        <v>194</v>
      </c>
      <c r="I8" s="270"/>
    </row>
    <row r="9" spans="2:9" ht="14.25" customHeight="1">
      <c r="B9" s="271" t="s">
        <v>159</v>
      </c>
      <c r="C9" s="286">
        <f>GETPIVOTDATA("dato",'[1]tabla dinámica nacionalidad-cat'!$A$4,"indicador","España","categoría","TOTAL","año",2010)/GETPIVOTDATA("dato",'[1]tabla dinámica nacionalidad-cat'!$A$4,"indicador","España","categoría","TOTAL","año",2010)</f>
        <v>1</v>
      </c>
      <c r="D9" s="286">
        <f>GETPIVOTDATA("dato",'[1]tabla dinámica nacionalidad-cat'!$A$4,"indicador","España","categoría","Hoteleros","año",2010)/GETPIVOTDATA("dato",'[1]tabla dinámica nacionalidad-cat'!$A$4,"indicador","España","categoría","TOTAL","año",2010)</f>
        <v>0.73613677948491618</v>
      </c>
      <c r="E9" s="286">
        <f>GETPIVOTDATA("dato",'[1]tabla dinámica nacionalidad-cat'!$A$4,"indicador","España","categoría","5 *","año",2010)/GETPIVOTDATA("dato",'[1]tabla dinámica nacionalidad-cat'!$A$4,"indicador","España","categoría","TOTAL","año",2010)</f>
        <v>8.8139832105848706E-2</v>
      </c>
      <c r="F9" s="286">
        <f>GETPIVOTDATA("dato",'[1]tabla dinámica nacionalidad-cat'!$A$4,"indicador","España","categoría","4 *","año",2010)/GETPIVOTDATA("dato",'[1]tabla dinámica nacionalidad-cat'!$A$4,"indicador","España","categoría","TOTAL","año",2010)</f>
        <v>0.4675659025919694</v>
      </c>
      <c r="G9" s="286">
        <f>GETPIVOTDATA("dato",'[1]tabla dinámica nacionalidad-cat'!$A$4,"indicador","España","categoría","3 *","año",2010)/GETPIVOTDATA("dato",'[1]tabla dinámica nacionalidad-cat'!$A$4,"indicador","España","categoría","TOTAL","año",2010)</f>
        <v>0.17266157283535155</v>
      </c>
      <c r="H9" s="286">
        <f>GETPIVOTDATA("dato",'[1]tabla dinámica nacionalidad-cat'!$A$4,"indicador","España","categoría","1* y 2 *","año",2010)/GETPIVOTDATA("dato",'[1]tabla dinámica nacionalidad-cat'!$A$4,"indicador","España","categoría","TOTAL","año",2010)</f>
        <v>7.7694719517465219E-3</v>
      </c>
      <c r="I9" s="286">
        <f>GETPIVOTDATA("dato",'[1]tabla dinámica nacionalidad-cat'!$A$4,"indicador","España","categoría","Extrahoteleros","año",2010)/GETPIVOTDATA("dato",'[1]tabla dinámica nacionalidad-cat'!$A$4,"indicador","España","categoría","TOTAL","año",2010)</f>
        <v>0.26386322051508382</v>
      </c>
    </row>
    <row r="10" spans="2:9" ht="14.25" customHeight="1">
      <c r="B10" s="273" t="s">
        <v>161</v>
      </c>
      <c r="C10" s="287">
        <f>GETPIVOTDATA("dato",'[1]tabla dinámica nacionalidad-cat'!$A$4,"indicador","HOLANDA","categoría","TOTAL","año",2010)/GETPIVOTDATA("dato",'[1]tabla dinámica nacionalidad-cat'!$A$4,"indicador","HOLANDA","categoría","TOTAL","año",2010)</f>
        <v>1</v>
      </c>
      <c r="D10" s="287">
        <f>GETPIVOTDATA("dato",'[1]tabla dinámica nacionalidad-cat'!$A$4,"indicador","HOLANDA","categoría","Hoteleros","año",2010)/GETPIVOTDATA("dato",'[1]tabla dinámica nacionalidad-cat'!$A$4,"indicador","HOLANDA","categoría","TOTAL","año",2010)</f>
        <v>0.6618180745286637</v>
      </c>
      <c r="E10" s="287">
        <f>GETPIVOTDATA("dato",'[1]tabla dinámica nacionalidad-cat'!$A$4,"indicador","HOLANDA","categoría","5 *","año",2010)/GETPIVOTDATA("dato",'[1]tabla dinámica nacionalidad-cat'!$A$4,"indicador","HOLANDA","categoría","TOTAL","año",2010)</f>
        <v>7.629894078423273E-2</v>
      </c>
      <c r="F10" s="287">
        <f>GETPIVOTDATA("dato",'[1]tabla dinámica nacionalidad-cat'!$A$4,"indicador","HOLANDA","categoría","4 *","año",2010)/GETPIVOTDATA("dato",'[1]tabla dinámica nacionalidad-cat'!$A$4,"indicador","HOLANDA","categoría","TOTAL","año",2010)</f>
        <v>0.4803056678370165</v>
      </c>
      <c r="G10" s="287">
        <f>GETPIVOTDATA("dato",'[1]tabla dinámica nacionalidad-cat'!$A$4,"indicador","HOLANDA","categoría","3 *","año",2010)/GETPIVOTDATA("dato",'[1]tabla dinámica nacionalidad-cat'!$A$4,"indicador","HOLANDA","categoría","TOTAL","año",2010)</f>
        <v>0.10182043489806154</v>
      </c>
      <c r="H10" s="287">
        <f>GETPIVOTDATA("dato",'[1]tabla dinámica nacionalidad-cat'!$A$4,"indicador","HOLANDA","categoría","1* y 2 *","año",2010)/GETPIVOTDATA("dato",'[1]tabla dinámica nacionalidad-cat'!$A$4,"indicador","HOLANDA","categoría","TOTAL","año",2010)</f>
        <v>3.3930310093529636E-3</v>
      </c>
      <c r="I10" s="287">
        <f>GETPIVOTDATA("dato",'[1]tabla dinámica nacionalidad-cat'!$A$4,"indicador","HOLANDA","categoría","Extrahoteleros","año",2010)/GETPIVOTDATA("dato",'[1]tabla dinámica nacionalidad-cat'!$A$4,"indicador","HOLANDA","categoría","TOTAL","año",2010)</f>
        <v>0.33818192547133624</v>
      </c>
    </row>
    <row r="11" spans="2:9" ht="14.25" customHeight="1">
      <c r="B11" s="273" t="s">
        <v>162</v>
      </c>
      <c r="C11" s="287">
        <f>GETPIVOTDATA("dato",'[1]tabla dinámica nacionalidad-cat'!$A$4,"indicador","BÉLGICA","categoría","TOTAL","año",2010)/GETPIVOTDATA("dato",'[1]tabla dinámica nacionalidad-cat'!$A$4,"indicador","BÉLGICA","categoría","TOTAL","año",2010)</f>
        <v>1</v>
      </c>
      <c r="D11" s="287">
        <f>GETPIVOTDATA("dato",'[1]tabla dinámica nacionalidad-cat'!$A$4,"indicador","BÉLGICA","categoría","Hoteleros","año",2010)/GETPIVOTDATA("dato",'[1]tabla dinámica nacionalidad-cat'!$A$4,"indicador","BÉLGICA","categoría","TOTAL","año",2010)</f>
        <v>0.8620987816061837</v>
      </c>
      <c r="E11" s="287">
        <f>GETPIVOTDATA("dato",'[1]tabla dinámica nacionalidad-cat'!$A$4,"indicador","BÉLGICA","categoría","5 *","año",2010)/GETPIVOTDATA("dato",'[1]tabla dinámica nacionalidad-cat'!$A$4,"indicador","BÉLGICA","categoría","TOTAL","año",2010)</f>
        <v>0.17049652823267392</v>
      </c>
      <c r="F11" s="287">
        <f>GETPIVOTDATA("dato",'[1]tabla dinámica nacionalidad-cat'!$A$4,"indicador","BÉLGICA","categoría","4 *","año",2010)/GETPIVOTDATA("dato",'[1]tabla dinámica nacionalidad-cat'!$A$4,"indicador","BÉLGICA","categoría","TOTAL","año",2010)</f>
        <v>0.65355692388313902</v>
      </c>
      <c r="G11" s="287">
        <f>GETPIVOTDATA("dato",'[1]tabla dinámica nacionalidad-cat'!$A$4,"indicador","BÉLGICA","categoría","3 *","año",2010)/GETPIVOTDATA("dato",'[1]tabla dinámica nacionalidad-cat'!$A$4,"indicador","BÉLGICA","categoría","TOTAL","año",2010)</f>
        <v>3.6027774138608672E-2</v>
      </c>
      <c r="H11" s="287">
        <f>GETPIVOTDATA("dato",'[1]tabla dinámica nacionalidad-cat'!$A$4,"indicador","BÉLGICA","categoría","1* y 2 *","año",2010)/GETPIVOTDATA("dato",'[1]tabla dinámica nacionalidad-cat'!$A$4,"indicador","BÉLGICA","categoría","TOTAL","año",2010)</f>
        <v>2.0175553517620855E-3</v>
      </c>
      <c r="I11" s="287">
        <f>GETPIVOTDATA("dato",'[1]tabla dinámica nacionalidad-cat'!$A$4,"indicador","BÉLGICA","categoría","Extrahoteleros","año",2010)/GETPIVOTDATA("dato",'[1]tabla dinámica nacionalidad-cat'!$A$4,"indicador","BÉLGICA","categoría","TOTAL","año",2010)</f>
        <v>0.13790121839381633</v>
      </c>
    </row>
    <row r="12" spans="2:9" ht="14.25" customHeight="1">
      <c r="B12" s="273" t="s">
        <v>163</v>
      </c>
      <c r="C12" s="287">
        <f>GETPIVOTDATA("dato",'[1]tabla dinámica nacionalidad-cat'!$A$4,"indicador","ALEMANIA","categoría","TOTAL","año",2010)/GETPIVOTDATA("dato",'[1]tabla dinámica nacionalidad-cat'!$A$4,"indicador","ALEMANIA","categoría","TOTAL","año",2010)</f>
        <v>1</v>
      </c>
      <c r="D12" s="287">
        <f>GETPIVOTDATA("dato",'[1]tabla dinámica nacionalidad-cat'!$A$4,"indicador","ALEMANIA","categoría","Hoteleros","año",2010)/GETPIVOTDATA("dato",'[1]tabla dinámica nacionalidad-cat'!$A$4,"indicador","ALEMANIA","categoría","TOTAL","año",2010)</f>
        <v>0.83483356491270466</v>
      </c>
      <c r="E12" s="287">
        <f>GETPIVOTDATA("dato",'[1]tabla dinámica nacionalidad-cat'!$A$4,"indicador","ALEMANIA","categoría","5 *","año",2010)/GETPIVOTDATA("dato",'[1]tabla dinámica nacionalidad-cat'!$A$4,"indicador","ALEMANIA","categoría","TOTAL","año",2010)</f>
        <v>0.11255512595904066</v>
      </c>
      <c r="F12" s="287">
        <f>GETPIVOTDATA("dato",'[1]tabla dinámica nacionalidad-cat'!$A$4,"indicador","ALEMANIA","categoría","4 *","año",2010)/GETPIVOTDATA("dato",'[1]tabla dinámica nacionalidad-cat'!$A$4,"indicador","ALEMANIA","categoría","TOTAL","año",2010)</f>
        <v>0.55452183894158158</v>
      </c>
      <c r="G12" s="287">
        <f>GETPIVOTDATA("dato",'[1]tabla dinámica nacionalidad-cat'!$A$4,"indicador","ALEMANIA","categoría","3 *","año",2010)/GETPIVOTDATA("dato",'[1]tabla dinámica nacionalidad-cat'!$A$4,"indicador","ALEMANIA","categoría","TOTAL","año",2010)</f>
        <v>0.16703920739443001</v>
      </c>
      <c r="H12" s="287">
        <f>GETPIVOTDATA("dato",'[1]tabla dinámica nacionalidad-cat'!$A$4,"indicador","ALEMANIA","categoría","1* y 2 *","año",2010)/GETPIVOTDATA("dato",'[1]tabla dinámica nacionalidad-cat'!$A$4,"indicador","ALEMANIA","categoría","TOTAL","año",2010)</f>
        <v>7.1739261765238927E-4</v>
      </c>
      <c r="I12" s="287">
        <f>GETPIVOTDATA("dato",'[1]tabla dinámica nacionalidad-cat'!$A$4,"indicador","ALEMANIA","categoría","Extrahoteleros","año",2010)/GETPIVOTDATA("dato",'[1]tabla dinámica nacionalidad-cat'!$A$4,"indicador","ALEMANIA","categoría","TOTAL","año",2010)</f>
        <v>0.16516643508729537</v>
      </c>
    </row>
    <row r="13" spans="2:9" ht="14.25" customHeight="1">
      <c r="B13" s="275" t="s">
        <v>164</v>
      </c>
      <c r="C13" s="287">
        <f>GETPIVOTDATA("dato",'[1]tabla dinámica nacionalidad-cat'!$A$4,"indicador","FRANCIA","categoría","TOTAL","año",2010)/GETPIVOTDATA("dato",'[1]tabla dinámica nacionalidad-cat'!$A$4,"indicador","FRANCIA","categoría","TOTAL","año",2010)</f>
        <v>1</v>
      </c>
      <c r="D13" s="287">
        <f>GETPIVOTDATA("dato",'[1]tabla dinámica nacionalidad-cat'!$A$4,"indicador","FRANCIA","categoría","Hoteleros","año",2010)/GETPIVOTDATA("dato",'[1]tabla dinámica nacionalidad-cat'!$A$4,"indicador","FRANCIA","categoría","TOTAL","año",2010)</f>
        <v>0.5932977605303581</v>
      </c>
      <c r="E13" s="287">
        <f>GETPIVOTDATA("dato",'[1]tabla dinámica nacionalidad-cat'!$A$4,"indicador","FRANCIA","categoría","5 *","año",2010)/GETPIVOTDATA("dato",'[1]tabla dinámica nacionalidad-cat'!$A$4,"indicador","FRANCIA","categoría","TOTAL","año",2010)</f>
        <v>6.0878001455251032E-2</v>
      </c>
      <c r="F13" s="287">
        <f>GETPIVOTDATA("dato",'[1]tabla dinámica nacionalidad-cat'!$A$4,"indicador","FRANCIA","categoría","4 *","año",2010)/GETPIVOTDATA("dato",'[1]tabla dinámica nacionalidad-cat'!$A$4,"indicador","FRANCIA","categoría","TOTAL","año",2010)</f>
        <v>0.43123938879456708</v>
      </c>
      <c r="G13" s="287">
        <f>GETPIVOTDATA("dato",'[1]tabla dinámica nacionalidad-cat'!$A$4,"indicador","FRANCIA","categoría","3 *","año",2010)/GETPIVOTDATA("dato",'[1]tabla dinámica nacionalidad-cat'!$A$4,"indicador","FRANCIA","categoría","TOTAL","año",2010)</f>
        <v>9.1923356779044382E-2</v>
      </c>
      <c r="H13" s="287">
        <f>GETPIVOTDATA("dato",'[1]tabla dinámica nacionalidad-cat'!$A$4,"indicador","FRANCIA","categoría","1* y 2 *","año",2010)/GETPIVOTDATA("dato",'[1]tabla dinámica nacionalidad-cat'!$A$4,"indicador","FRANCIA","categoría","TOTAL","año",2010)</f>
        <v>9.2570135014956745E-3</v>
      </c>
      <c r="I13" s="287">
        <f>GETPIVOTDATA("dato",'[1]tabla dinámica nacionalidad-cat'!$A$4,"indicador","FRANCIA","categoría","Extrahoteleros","año",2010)/GETPIVOTDATA("dato",'[1]tabla dinámica nacionalidad-cat'!$A$4,"indicador","FRANCIA","categoría","TOTAL","año",2010)</f>
        <v>0.40670223946964185</v>
      </c>
    </row>
    <row r="14" spans="2:9" ht="14.25" customHeight="1">
      <c r="B14" s="275" t="s">
        <v>165</v>
      </c>
      <c r="C14" s="287">
        <f>GETPIVOTDATA("dato",'[1]tabla dinámica nacionalidad-cat'!$A$4,"indicador","REINO UNIDO","categoría","TOTAL","año",2010)/GETPIVOTDATA("dato",'[1]tabla dinámica nacionalidad-cat'!$A$4,"indicador","REINO UNIDO","categoría","TOTAL","año",2010)</f>
        <v>1</v>
      </c>
      <c r="D14" s="287">
        <f>GETPIVOTDATA("dato",'[1]tabla dinámica nacionalidad-cat'!$A$4,"indicador","REINO UNIDO","categoría","Hoteleros","año",2010)/GETPIVOTDATA("dato",'[1]tabla dinámica nacionalidad-cat'!$A$4,"indicador","REINO UNIDO","categoría","TOTAL","año",2010)</f>
        <v>0.556019570639121</v>
      </c>
      <c r="E14" s="287">
        <f>GETPIVOTDATA("dato",'[1]tabla dinámica nacionalidad-cat'!$A$4,"indicador","REINO UNIDO","categoría","5 *","año",2010)/GETPIVOTDATA("dato",'[1]tabla dinámica nacionalidad-cat'!$A$4,"indicador","REINO UNIDO","categoría","TOTAL","año",2010)</f>
        <v>9.5199289011350607E-2</v>
      </c>
      <c r="F14" s="287">
        <f>GETPIVOTDATA("dato",'[1]tabla dinámica nacionalidad-cat'!$A$4,"indicador","REINO UNIDO","categoría","4 *","año",2010)/GETPIVOTDATA("dato",'[1]tabla dinámica nacionalidad-cat'!$A$4,"indicador","REINO UNIDO","categoría","TOTAL","año",2010)</f>
        <v>0.4024558630424287</v>
      </c>
      <c r="G14" s="287">
        <f>GETPIVOTDATA("dato",'[1]tabla dinámica nacionalidad-cat'!$A$4,"indicador","REINO UNIDO","categoría","3 *","año",2010)/GETPIVOTDATA("dato",'[1]tabla dinámica nacionalidad-cat'!$A$4,"indicador","REINO UNIDO","categoría","TOTAL","año",2010)</f>
        <v>4.6672468563661466E-2</v>
      </c>
      <c r="H14" s="287">
        <f>GETPIVOTDATA("dato",'[1]tabla dinámica nacionalidad-cat'!$A$4,"indicador","REINO UNIDO","categoría","1* y 2 *","año",2010)/GETPIVOTDATA("dato",'[1]tabla dinámica nacionalidad-cat'!$A$4,"indicador","REINO UNIDO","categoría","TOTAL","año",2010)</f>
        <v>1.1691950021680234E-2</v>
      </c>
      <c r="I14" s="287">
        <f>GETPIVOTDATA("dato",'[1]tabla dinámica nacionalidad-cat'!$A$4,"indicador","REINO UNIDO","categoría","Extrahoteleros","año",2010)/GETPIVOTDATA("dato",'[1]tabla dinámica nacionalidad-cat'!$A$4,"indicador","REINO UNIDO","categoría","TOTAL","año",2010)</f>
        <v>0.443980429360879</v>
      </c>
    </row>
    <row r="15" spans="2:9" ht="14.25" customHeight="1">
      <c r="B15" s="275" t="s">
        <v>166</v>
      </c>
      <c r="C15" s="287">
        <f>GETPIVOTDATA("dato",'[1]tabla dinámica nacionalidad-cat'!$A$4,"indicador","IRLANDA","categoría","TOTAL","año",2010)/GETPIVOTDATA("dato",'[1]tabla dinámica nacionalidad-cat'!$A$4,"indicador","IRLANDA","categoría","TOTAL","año",2010)</f>
        <v>1</v>
      </c>
      <c r="D15" s="287">
        <f>GETPIVOTDATA("dato",'[1]tabla dinámica nacionalidad-cat'!$A$4,"indicador","IRLANDA","categoría","Hoteleros","año",2010)/GETPIVOTDATA("dato",'[1]tabla dinámica nacionalidad-cat'!$A$4,"indicador","IRLANDA","categoría","TOTAL","año",2010)</f>
        <v>0.42131137074634489</v>
      </c>
      <c r="E15" s="287">
        <f>GETPIVOTDATA("dato",'[1]tabla dinámica nacionalidad-cat'!$A$4,"indicador","IRLANDA","categoría","5 *","año",2010)/GETPIVOTDATA("dato",'[1]tabla dinámica nacionalidad-cat'!$A$4,"indicador","IRLANDA","categoría","TOTAL","año",2010)</f>
        <v>0.13247781395645788</v>
      </c>
      <c r="F15" s="287">
        <f>GETPIVOTDATA("dato",'[1]tabla dinámica nacionalidad-cat'!$A$4,"indicador","IRLANDA","categoría","4 *","año",2010)/GETPIVOTDATA("dato",'[1]tabla dinámica nacionalidad-cat'!$A$4,"indicador","IRLANDA","categoría","TOTAL","año",2010)</f>
        <v>0.25965651535465745</v>
      </c>
      <c r="G15" s="287">
        <f>GETPIVOTDATA("dato",'[1]tabla dinámica nacionalidad-cat'!$A$4,"indicador","IRLANDA","categoría","3 *","año",2010)/GETPIVOTDATA("dato",'[1]tabla dinámica nacionalidad-cat'!$A$4,"indicador","IRLANDA","categoría","TOTAL","año",2010)</f>
        <v>2.7580923194790271E-2</v>
      </c>
      <c r="H15" s="287">
        <f>GETPIVOTDATA("dato",'[1]tabla dinámica nacionalidad-cat'!$A$4,"indicador","IRLANDA","categoría","1* y 2 *","año",2010)/GETPIVOTDATA("dato",'[1]tabla dinámica nacionalidad-cat'!$A$4,"indicador","IRLANDA","categoría","TOTAL","año",2010)</f>
        <v>1.5961182404392517E-3</v>
      </c>
      <c r="I15" s="287">
        <f>GETPIVOTDATA("dato",'[1]tabla dinámica nacionalidad-cat'!$A$4,"indicador","IRLANDA","categoría","Extrahoteleros","año",2010)/GETPIVOTDATA("dato",'[1]tabla dinámica nacionalidad-cat'!$A$4,"indicador","IRLANDA","categoría","TOTAL","año",2010)</f>
        <v>0.57868862925365516</v>
      </c>
    </row>
    <row r="16" spans="2:9" ht="14.25" customHeight="1">
      <c r="B16" s="275" t="s">
        <v>167</v>
      </c>
      <c r="C16" s="287">
        <f>GETPIVOTDATA("dato",'[1]tabla dinámica nacionalidad-cat'!$A$4,"indicador","ITALIA","categoría","TOTAL","año",2010)/GETPIVOTDATA("dato",'[1]tabla dinámica nacionalidad-cat'!$A$4,"indicador","ITALIA","categoría","TOTAL","año",2010)</f>
        <v>1</v>
      </c>
      <c r="D16" s="287">
        <f>GETPIVOTDATA("dato",'[1]tabla dinámica nacionalidad-cat'!$A$4,"indicador","ITALIA","categoría","Hoteleros","año",2010)/GETPIVOTDATA("dato",'[1]tabla dinámica nacionalidad-cat'!$A$4,"indicador","ITALIA","categoría","TOTAL","año",2010)</f>
        <v>0.70317527519051648</v>
      </c>
      <c r="E16" s="287">
        <f>GETPIVOTDATA("dato",'[1]tabla dinámica nacionalidad-cat'!$A$4,"indicador","ITALIA","categoría","5 *","año",2010)/GETPIVOTDATA("dato",'[1]tabla dinámica nacionalidad-cat'!$A$4,"indicador","ITALIA","categoría","TOTAL","año",2010)</f>
        <v>5.7281964436917868E-2</v>
      </c>
      <c r="F16" s="287">
        <f>GETPIVOTDATA("dato",'[1]tabla dinámica nacionalidad-cat'!$A$4,"indicador","ITALIA","categoría","4 *","año",2010)/GETPIVOTDATA("dato",'[1]tabla dinámica nacionalidad-cat'!$A$4,"indicador","ITALIA","categoría","TOTAL","año",2010)</f>
        <v>0.59784081287044877</v>
      </c>
      <c r="G16" s="287">
        <f>GETPIVOTDATA("dato",'[1]tabla dinámica nacionalidad-cat'!$A$4,"indicador","ITALIA","categoría","3 *","año",2010)/GETPIVOTDATA("dato",'[1]tabla dinámica nacionalidad-cat'!$A$4,"indicador","ITALIA","categoría","TOTAL","año",2010)</f>
        <v>4.5215918712955119E-2</v>
      </c>
      <c r="H16" s="287">
        <f>GETPIVOTDATA("dato",'[1]tabla dinámica nacionalidad-cat'!$A$4,"indicador","ITALIA","categoría","1* y 2 *","año",2010)/GETPIVOTDATA("dato",'[1]tabla dinámica nacionalidad-cat'!$A$4,"indicador","ITALIA","categoría","TOTAL","año",2010)</f>
        <v>2.8365791701947503E-3</v>
      </c>
      <c r="I16" s="287">
        <f>GETPIVOTDATA("dato",'[1]tabla dinámica nacionalidad-cat'!$A$4,"indicador","ITALIA","categoría","Extrahoteleros","año",2010)/GETPIVOTDATA("dato",'[1]tabla dinámica nacionalidad-cat'!$A$4,"indicador","ITALIA","categoría","TOTAL","año",2010)</f>
        <v>0.29682472480948346</v>
      </c>
    </row>
    <row r="17" spans="2:9" ht="14.25" customHeight="1">
      <c r="B17" s="273" t="s">
        <v>168</v>
      </c>
      <c r="C17" s="287">
        <f>(GETPIVOTDATA("dato",'[1]tabla dinámica nacionalidad-cat'!$A$4,"indicador","SUECIA","categoría","TOTAL","año",2010)+GETPIVOTDATA("dato",'[1]tabla dinámica nacionalidad-cat'!$A$4,"indicador","NORUEGA","categoría","TOTAL","año",2010)+GETPIVOTDATA("dato",'[1]tabla dinámica nacionalidad-cat'!$A$4,"indicador","DINAMARCA","categoría","TOTAL","año",2010)+GETPIVOTDATA("dato",'[1]tabla dinámica nacionalidad-cat'!$A$4,"indicador","FINLANDIA","categoría","TOTAL","año",2010))/(GETPIVOTDATA("dato",'[1]tabla dinámica nacionalidad-cat'!$A$4,"indicador","SUECIA","categoría","TOTAL","año",2010)+GETPIVOTDATA("dato",'[1]tabla dinámica nacionalidad-cat'!$A$4,"indicador","NORUEGA","categoría","TOTAL","año",2010)+GETPIVOTDATA("dato",'[1]tabla dinámica nacionalidad-cat'!$A$4,"indicador","DINAMARCA","categoría","TOTAL","año",2010)+GETPIVOTDATA("dato",'[1]tabla dinámica nacionalidad-cat'!$A$4,"indicador","FINLANDIA","categoría","TOTAL","año",2010))</f>
        <v>1</v>
      </c>
      <c r="D17" s="287">
        <f>(GETPIVOTDATA("dato",'[1]tabla dinámica nacionalidad-cat'!$A$4,"indicador","SUECIA","categoría","HOTELEROS","año",2010)+GETPIVOTDATA("dato",'[1]tabla dinámica nacionalidad-cat'!$A$4,"indicador","NORUEGA","categoría","HOTELEROS","año",2010)+GETPIVOTDATA("dato",'[1]tabla dinámica nacionalidad-cat'!$A$4,"indicador","DINAMARCA","categoría","HOTELEROS","año",2010)+GETPIVOTDATA("dato",'[1]tabla dinámica nacionalidad-cat'!$A$4,"indicador","FINLANDIA","categoría","HOTELEROS","año",2010))/(GETPIVOTDATA("dato",'[1]tabla dinámica nacionalidad-cat'!$A$4,"indicador","SUECIA","categoría","TOTAL","año",2010)+GETPIVOTDATA("dato",'[1]tabla dinámica nacionalidad-cat'!$A$4,"indicador","NORUEGA","categoría","TOTAL","año",2010)+GETPIVOTDATA("dato",'[1]tabla dinámica nacionalidad-cat'!$A$4,"indicador","DINAMARCA","categoría","TOTAL","año",2010)+GETPIVOTDATA("dato",'[1]tabla dinámica nacionalidad-cat'!$A$4,"indicador","FINLANDIA","categoría","TOTAL","año",2010))</f>
        <v>0.57515846427279449</v>
      </c>
      <c r="E17" s="287">
        <f>(GETPIVOTDATA("dato",'[1]tabla dinámica nacionalidad-cat'!$A$4,"indicador","SUECIA","categoría","5 *","año",2010)+GETPIVOTDATA("dato",'[1]tabla dinámica nacionalidad-cat'!$A$4,"indicador","NORUEGA","categoría","5 *","año",2010)+GETPIVOTDATA("dato",'[1]tabla dinámica nacionalidad-cat'!$A$4,"indicador","DINAMARCA","categoría","5 *","año",2010)+GETPIVOTDATA("dato",'[1]tabla dinámica nacionalidad-cat'!$A$4,"indicador","FINLANDIA","categoría","5 *","año",2010))/(GETPIVOTDATA("dato",'[1]tabla dinámica nacionalidad-cat'!$A$4,"indicador","SUECIA","categoría","TOTAL","año",2010)+GETPIVOTDATA("dato",'[1]tabla dinámica nacionalidad-cat'!$A$4,"indicador","NORUEGA","categoría","TOTAL","año",2010)+GETPIVOTDATA("dato",'[1]tabla dinámica nacionalidad-cat'!$A$4,"indicador","DINAMARCA","categoría","TOTAL","año",2010)+GETPIVOTDATA("dato",'[1]tabla dinámica nacionalidad-cat'!$A$4,"indicador","FINLANDIA","categoría","TOTAL","año",2010))</f>
        <v>3.3564541751207162E-2</v>
      </c>
      <c r="F17" s="287">
        <f>(GETPIVOTDATA("dato",'[1]tabla dinámica nacionalidad-cat'!$A$4,"indicador","SUECIA","categoría","4 *","año",2010)+GETPIVOTDATA("dato",'[1]tabla dinámica nacionalidad-cat'!$A$4,"indicador","NORUEGA","categoría","4 *","año",2010)+GETPIVOTDATA("dato",'[1]tabla dinámica nacionalidad-cat'!$A$4,"indicador","DINAMARCA","categoría","4 *","año",2010)+GETPIVOTDATA("dato",'[1]tabla dinámica nacionalidad-cat'!$A$4,"indicador","FINLANDIA","categoría","4 *","año",2010))/(GETPIVOTDATA("dato",'[1]tabla dinámica nacionalidad-cat'!$A$4,"indicador","SUECIA","categoría","TOTAL","año",2010)+GETPIVOTDATA("dato",'[1]tabla dinámica nacionalidad-cat'!$A$4,"indicador","NORUEGA","categoría","TOTAL","año",2010)+GETPIVOTDATA("dato",'[1]tabla dinámica nacionalidad-cat'!$A$4,"indicador","DINAMARCA","categoría","TOTAL","año",2010)+GETPIVOTDATA("dato",'[1]tabla dinámica nacionalidad-cat'!$A$4,"indicador","FINLANDIA","categoría","TOTAL","año",2010))</f>
        <v>0.3899400745529184</v>
      </c>
      <c r="G17" s="287">
        <f>(GETPIVOTDATA("dato",'[1]tabla dinámica nacionalidad-cat'!$A$4,"indicador","SUECIA","categoría","3 *","año",2010)+GETPIVOTDATA("dato",'[1]tabla dinámica nacionalidad-cat'!$A$4,"indicador","NORUEGA","categoría","3 *","año",2010)+GETPIVOTDATA("dato",'[1]tabla dinámica nacionalidad-cat'!$A$4,"indicador","DINAMARCA","categoría","3 *","año",2010)+GETPIVOTDATA("dato",'[1]tabla dinámica nacionalidad-cat'!$A$4,"indicador","FINLANDIA","categoría","3 *","año",2010))/(GETPIVOTDATA("dato",'[1]tabla dinámica nacionalidad-cat'!$A$4,"indicador","SUECIA","categoría","TOTAL","año",2010)+GETPIVOTDATA("dato",'[1]tabla dinámica nacionalidad-cat'!$A$4,"indicador","NORUEGA","categoría","TOTAL","año",2010)+GETPIVOTDATA("dato",'[1]tabla dinámica nacionalidad-cat'!$A$4,"indicador","DINAMARCA","categoría","TOTAL","año",2010)+GETPIVOTDATA("dato",'[1]tabla dinámica nacionalidad-cat'!$A$4,"indicador","FINLANDIA","categoría","TOTAL","año",2010))</f>
        <v>0.10409097343462465</v>
      </c>
      <c r="H17" s="287">
        <f>(GETPIVOTDATA("dato",'[1]tabla dinámica nacionalidad-cat'!$A$4,"indicador","SUECIA","categoría","1* Y 2 *","año",2010)+GETPIVOTDATA("dato",'[1]tabla dinámica nacionalidad-cat'!$A$4,"indicador","NORUEGA","categoría","1* Y 2 *","año",2010)+GETPIVOTDATA("dato",'[1]tabla dinámica nacionalidad-cat'!$A$4,"indicador","DINAMARCA","categoría","1* Y 2 *","año",2010)+GETPIVOTDATA("dato",'[1]tabla dinámica nacionalidad-cat'!$A$4,"indicador","FINLANDIA","categoría","1* Y 2 *","año",2010))/(GETPIVOTDATA("dato",'[1]tabla dinámica nacionalidad-cat'!$A$4,"indicador","SUECIA","categoría","TOTAL","año",2010)+GETPIVOTDATA("dato",'[1]tabla dinámica nacionalidad-cat'!$A$4,"indicador","NORUEGA","categoría","TOTAL","año",2010)+GETPIVOTDATA("dato",'[1]tabla dinámica nacionalidad-cat'!$A$4,"indicador","DINAMARCA","categoría","TOTAL","año",2010)+GETPIVOTDATA("dato",'[1]tabla dinámica nacionalidad-cat'!$A$4,"indicador","FINLANDIA","categoría","TOTAL","año",2010))</f>
        <v>4.7562874534044258E-2</v>
      </c>
      <c r="I17" s="287">
        <f>(GETPIVOTDATA("dato",'[1]tabla dinámica nacionalidad-cat'!$A$4,"indicador","SUECIA","categoría","EXTRAHOTELEROS","año",2010)+GETPIVOTDATA("dato",'[1]tabla dinámica nacionalidad-cat'!$A$4,"indicador","NORUEGA","categoría","EXTRAHOTELEROS","año",2010)+GETPIVOTDATA("dato",'[1]tabla dinámica nacionalidad-cat'!$A$4,"indicador","DINAMARCA","categoría","EXTRAHOTELEROS","año",2010)+GETPIVOTDATA("dato",'[1]tabla dinámica nacionalidad-cat'!$A$4,"indicador","FINLANDIA","categoría","EXTRAHOTELEROS","año",2010))/(GETPIVOTDATA("dato",'[1]tabla dinámica nacionalidad-cat'!$A$4,"indicador","SUECIA","categoría","TOTAL","año",2010)+GETPIVOTDATA("dato",'[1]tabla dinámica nacionalidad-cat'!$A$4,"indicador","NORUEGA","categoría","TOTAL","año",2010)+GETPIVOTDATA("dato",'[1]tabla dinámica nacionalidad-cat'!$A$4,"indicador","DINAMARCA","categoría","TOTAL","año",2010)+GETPIVOTDATA("dato",'[1]tabla dinámica nacionalidad-cat'!$A$4,"indicador","FINLANDIA","categoría","TOTAL","año",2010))</f>
        <v>0.42484153572720551</v>
      </c>
    </row>
    <row r="18" spans="2:9" ht="14.25" customHeight="1">
      <c r="B18" s="276" t="s">
        <v>169</v>
      </c>
      <c r="C18" s="287">
        <f>GETPIVOTDATA("dato",'[1]tabla dinámica nacionalidad-cat'!$A$4,"indicador","SUECIA","categoría","TOTAL","año",2010)/GETPIVOTDATA("dato",'[1]tabla dinámica nacionalidad-cat'!$A$4,"indicador","SUECIA","categoría","TOTAL","año",2010)</f>
        <v>1</v>
      </c>
      <c r="D18" s="287">
        <f>GETPIVOTDATA("dato",'[1]tabla dinámica nacionalidad-cat'!$A$4,"indicador","SUECIA","categoría","Hoteleros","año",2010)/GETPIVOTDATA("dato",'[1]tabla dinámica nacionalidad-cat'!$A$4,"indicador","SUECIA","categoría","TOTAL","año",2010)</f>
        <v>0.5135960044395117</v>
      </c>
      <c r="E18" s="287">
        <f>GETPIVOTDATA("dato",'[1]tabla dinámica nacionalidad-cat'!$A$4,"indicador","SUECIA","categoría","5 *","año",2010)/GETPIVOTDATA("dato",'[1]tabla dinámica nacionalidad-cat'!$A$4,"indicador","SUECIA","categoría","TOTAL","año",2010)</f>
        <v>3.0845357010728821E-2</v>
      </c>
      <c r="F18" s="287">
        <f>GETPIVOTDATA("dato",'[1]tabla dinámica nacionalidad-cat'!$A$4,"indicador","SUECIA","categoría","4 *","año",2010)/GETPIVOTDATA("dato",'[1]tabla dinámica nacionalidad-cat'!$A$4,"indicador","SUECIA","categoría","TOTAL","año",2010)</f>
        <v>0.39442286348501665</v>
      </c>
      <c r="G18" s="287">
        <f>GETPIVOTDATA("dato",'[1]tabla dinámica nacionalidad-cat'!$A$4,"indicador","SUECIA","categoría","3 *","año",2010)/GETPIVOTDATA("dato",'[1]tabla dinámica nacionalidad-cat'!$A$4,"indicador","SUECIA","categoría","TOTAL","año",2010)</f>
        <v>7.2142064372918979E-2</v>
      </c>
      <c r="H18" s="287">
        <f>GETPIVOTDATA("dato",'[1]tabla dinámica nacionalidad-cat'!$A$4,"indicador","SUECIA","categoría","1* y 2 *","año",2010)/GETPIVOTDATA("dato",'[1]tabla dinámica nacionalidad-cat'!$A$4,"indicador","SUECIA","categoría","TOTAL","año",2010)</f>
        <v>1.6185719570847207E-2</v>
      </c>
      <c r="I18" s="287">
        <f>GETPIVOTDATA("dato",'[1]tabla dinámica nacionalidad-cat'!$A$4,"indicador","SUECIA","categoría","Extrahoteleros","año",2010)/GETPIVOTDATA("dato",'[1]tabla dinámica nacionalidad-cat'!$A$4,"indicador","SUECIA","categoría","TOTAL","año",2010)</f>
        <v>0.48640399556048836</v>
      </c>
    </row>
    <row r="19" spans="2:9" ht="14.25" customHeight="1">
      <c r="B19" s="276" t="s">
        <v>170</v>
      </c>
      <c r="C19" s="287">
        <f>GETPIVOTDATA("dato",'[1]tabla dinámica nacionalidad-cat'!$A$4,"indicador","NORUEGA","categoría","TOTAL","año",2010)/GETPIVOTDATA("dato",'[1]tabla dinámica nacionalidad-cat'!$A$4,"indicador","NORUEGA","categoría","TOTAL","año",2010)</f>
        <v>1</v>
      </c>
      <c r="D19" s="287">
        <f>GETPIVOTDATA("dato",'[1]tabla dinámica nacionalidad-cat'!$A$4,"indicador","NORUEGA","categoría","Hoteleros","año",2010)/GETPIVOTDATA("dato",'[1]tabla dinámica nacionalidad-cat'!$A$4,"indicador","NORUEGA","categoría","TOTAL","año",2010)</f>
        <v>0.61167256189994945</v>
      </c>
      <c r="E19" s="287">
        <f>GETPIVOTDATA("dato",'[1]tabla dinámica nacionalidad-cat'!$A$4,"indicador","NORUEGA","categoría","5 *","año",2010)/GETPIVOTDATA("dato",'[1]tabla dinámica nacionalidad-cat'!$A$4,"indicador","NORUEGA","categoría","TOTAL","año",2010)</f>
        <v>4.5056425804278252E-2</v>
      </c>
      <c r="F19" s="287">
        <f>GETPIVOTDATA("dato",'[1]tabla dinámica nacionalidad-cat'!$A$4,"indicador","NORUEGA","categoría","4 *","año",2010)/GETPIVOTDATA("dato",'[1]tabla dinámica nacionalidad-cat'!$A$4,"indicador","NORUEGA","categoría","TOTAL","año",2010)</f>
        <v>0.38125315816068722</v>
      </c>
      <c r="G19" s="287">
        <f>GETPIVOTDATA("dato",'[1]tabla dinámica nacionalidad-cat'!$A$4,"indicador","NORUEGA","categoría","3 *","año",2010)/GETPIVOTDATA("dato",'[1]tabla dinámica nacionalidad-cat'!$A$4,"indicador","NORUEGA","categoría","TOTAL","año",2010)</f>
        <v>0.12767390938184267</v>
      </c>
      <c r="H19" s="287">
        <f>GETPIVOTDATA("dato",'[1]tabla dinámica nacionalidad-cat'!$A$4,"indicador","NORUEGA","categoría","1* y 2 *","año",2010)/GETPIVOTDATA("dato",'[1]tabla dinámica nacionalidad-cat'!$A$4,"indicador","NORUEGA","categoría","TOTAL","año",2010)</f>
        <v>5.7689068553141321E-2</v>
      </c>
      <c r="I19" s="287">
        <f>GETPIVOTDATA("dato",'[1]tabla dinámica nacionalidad-cat'!$A$4,"indicador","NORUEGA","categoría","Extrahoteleros","año",2010)/GETPIVOTDATA("dato",'[1]tabla dinámica nacionalidad-cat'!$A$4,"indicador","NORUEGA","categoría","TOTAL","año",2010)</f>
        <v>0.38832743810005055</v>
      </c>
    </row>
    <row r="20" spans="2:9" ht="14.25" customHeight="1">
      <c r="B20" s="276" t="s">
        <v>171</v>
      </c>
      <c r="C20" s="287">
        <f>GETPIVOTDATA("dato",'[1]tabla dinámica nacionalidad-cat'!$A$4,"indicador","DINAMARCA","categoría","TOTAL","año",2010)/GETPIVOTDATA("dato",'[1]tabla dinámica nacionalidad-cat'!$A$4,"indicador","DINAMARCA","categoría","TOTAL","año",2010)</f>
        <v>1</v>
      </c>
      <c r="D20" s="287">
        <f>GETPIVOTDATA("dato",'[1]tabla dinámica nacionalidad-cat'!$A$4,"indicador","DINAMARCA","categoría","Hoteleros","año",2010)/GETPIVOTDATA("dato",'[1]tabla dinámica nacionalidad-cat'!$A$4,"indicador","DINAMARCA","categoría","TOTAL","año",2010)</f>
        <v>0.6490479132730439</v>
      </c>
      <c r="E20" s="287">
        <f>GETPIVOTDATA("dato",'[1]tabla dinámica nacionalidad-cat'!$A$4,"indicador","DINAMARCA","categoría","5 *","año",2010)/GETPIVOTDATA("dato",'[1]tabla dinámica nacionalidad-cat'!$A$4,"indicador","DINAMARCA","categoría","TOTAL","año",2010)</f>
        <v>1.5896197270123012E-2</v>
      </c>
      <c r="F20" s="287">
        <f>GETPIVOTDATA("dato",'[1]tabla dinámica nacionalidad-cat'!$A$4,"indicador","DINAMARCA","categoría","4 *","año",2010)/GETPIVOTDATA("dato",'[1]tabla dinámica nacionalidad-cat'!$A$4,"indicador","DINAMARCA","categoría","TOTAL","año",2010)</f>
        <v>0.38785597932932653</v>
      </c>
      <c r="G20" s="287">
        <f>GETPIVOTDATA("dato",'[1]tabla dinámica nacionalidad-cat'!$A$4,"indicador","DINAMARCA","categoría","3 *","año",2010)/GETPIVOTDATA("dato",'[1]tabla dinámica nacionalidad-cat'!$A$4,"indicador","DINAMARCA","categoría","TOTAL","año",2010)</f>
        <v>0.13632533842610797</v>
      </c>
      <c r="H20" s="287">
        <f>GETPIVOTDATA("dato",'[1]tabla dinámica nacionalidad-cat'!$A$4,"indicador","DINAMARCA","categoría","1* y 2 *","año",2010)/GETPIVOTDATA("dato",'[1]tabla dinámica nacionalidad-cat'!$A$4,"indicador","DINAMARCA","categoría","TOTAL","año",2010)</f>
        <v>0.10897039824748637</v>
      </c>
      <c r="I20" s="287">
        <f>GETPIVOTDATA("dato",'[1]tabla dinámica nacionalidad-cat'!$A$4,"indicador","DINAMARCA","categoría","Extrahoteleros","año",2010)/GETPIVOTDATA("dato",'[1]tabla dinámica nacionalidad-cat'!$A$4,"indicador","DINAMARCA","categoría","TOTAL","año",2010)</f>
        <v>0.35095208672695616</v>
      </c>
    </row>
    <row r="21" spans="2:9" ht="14.25" customHeight="1">
      <c r="B21" s="276" t="s">
        <v>172</v>
      </c>
      <c r="C21" s="287">
        <f>GETPIVOTDATA("dato",'[1]tabla dinámica nacionalidad-cat'!$A$4,"indicador","FINLANDIA","categoría","TOTAL","año",2010)/GETPIVOTDATA("dato",'[1]tabla dinámica nacionalidad-cat'!$A$4,"indicador","FINLANDIA","categoría","TOTAL","año",2010)</f>
        <v>1</v>
      </c>
      <c r="D21" s="287">
        <f>GETPIVOTDATA("dato",'[1]tabla dinámica nacionalidad-cat'!$A$4,"indicador","FINLANDIA","categoría","Hoteleros","año",2010)/GETPIVOTDATA("dato",'[1]tabla dinámica nacionalidad-cat'!$A$4,"indicador","FINLANDIA","categoría","TOTAL","año",2010)</f>
        <v>0.54113047727642938</v>
      </c>
      <c r="E21" s="287">
        <f>GETPIVOTDATA("dato",'[1]tabla dinámica nacionalidad-cat'!$A$4,"indicador","FINLANDIA","categoría","5 *","año",2010)/GETPIVOTDATA("dato",'[1]tabla dinámica nacionalidad-cat'!$A$4,"indicador","FINLANDIA","categoría","TOTAL","año",2010)</f>
        <v>5.285877178693598E-2</v>
      </c>
      <c r="F21" s="287">
        <f>GETPIVOTDATA("dato",'[1]tabla dinámica nacionalidad-cat'!$A$4,"indicador","FINLANDIA","categoría","4 *","año",2010)/GETPIVOTDATA("dato",'[1]tabla dinámica nacionalidad-cat'!$A$4,"indicador","FINLANDIA","categoría","TOTAL","año",2010)</f>
        <v>0.39346799152956508</v>
      </c>
      <c r="G21" s="287">
        <f>GETPIVOTDATA("dato",'[1]tabla dinámica nacionalidad-cat'!$A$4,"indicador","FINLANDIA","categoría","3 *","año",2010)/GETPIVOTDATA("dato",'[1]tabla dinámica nacionalidad-cat'!$A$4,"indicador","FINLANDIA","categoría","TOTAL","año",2010)</f>
        <v>9.0812835966769825E-2</v>
      </c>
      <c r="H21" s="287">
        <f>GETPIVOTDATA("dato",'[1]tabla dinámica nacionalidad-cat'!$A$4,"indicador","FINLANDIA","categoría","1* y 2 *","año",2010)/GETPIVOTDATA("dato",'[1]tabla dinámica nacionalidad-cat'!$A$4,"indicador","FINLANDIA","categoría","TOTAL","año",2010)</f>
        <v>3.990877993158495E-3</v>
      </c>
      <c r="I21" s="287">
        <f>GETPIVOTDATA("dato",'[1]tabla dinámica nacionalidad-cat'!$A$4,"indicador","FINLANDIA","categoría","Extrahoteleros","año",2010)/GETPIVOTDATA("dato",'[1]tabla dinámica nacionalidad-cat'!$A$4,"indicador","FINLANDIA","categoría","TOTAL","año",2010)</f>
        <v>0.45886952272357062</v>
      </c>
    </row>
    <row r="22" spans="2:9" ht="14.25" customHeight="1">
      <c r="B22" s="273" t="s">
        <v>173</v>
      </c>
      <c r="C22" s="287">
        <f>GETPIVOTDATA("dato",'[1]tabla dinámica nacionalidad-cat'!$A$4,"indicador","SUIZA","categoría","TOTAL","año",2010)/GETPIVOTDATA("dato",'[1]tabla dinámica nacionalidad-cat'!$A$4,"indicador","SUIZA","categoría","TOTAL","año",2010)</f>
        <v>1</v>
      </c>
      <c r="D22" s="287">
        <f>GETPIVOTDATA("dato",'[1]tabla dinámica nacionalidad-cat'!$A$4,"indicador","SUIZA","categoría","Hoteleros","año",2010)/GETPIVOTDATA("dato",'[1]tabla dinámica nacionalidad-cat'!$A$4,"indicador","SUIZA","categoría","TOTAL","año",2010)</f>
        <v>0.76778413736713003</v>
      </c>
      <c r="E22" s="287">
        <f>GETPIVOTDATA("dato",'[1]tabla dinámica nacionalidad-cat'!$A$4,"indicador","SUIZA","categoría","5 *","año",2010)/GETPIVOTDATA("dato",'[1]tabla dinámica nacionalidad-cat'!$A$4,"indicador","SUIZA","categoría","TOTAL","año",2010)</f>
        <v>0.20986644862360315</v>
      </c>
      <c r="F22" s="287">
        <f>GETPIVOTDATA("dato",'[1]tabla dinámica nacionalidad-cat'!$A$4,"indicador","SUIZA","categoría","4 *","año",2010)/GETPIVOTDATA("dato",'[1]tabla dinámica nacionalidad-cat'!$A$4,"indicador","SUIZA","categoría","TOTAL","año",2010)</f>
        <v>0.45761787953120742</v>
      </c>
      <c r="G22" s="287">
        <f>GETPIVOTDATA("dato",'[1]tabla dinámica nacionalidad-cat'!$A$4,"indicador","SUIZA","categoría","3 *","año",2010)/GETPIVOTDATA("dato",'[1]tabla dinámica nacionalidad-cat'!$A$4,"indicador","SUIZA","categoría","TOTAL","año",2010)</f>
        <v>9.9073316980103576E-2</v>
      </c>
      <c r="H22" s="287">
        <f>GETPIVOTDATA("dato",'[1]tabla dinámica nacionalidad-cat'!$A$4,"indicador","SUIZA","categoría","1* y 2 *","año",2010)/GETPIVOTDATA("dato",'[1]tabla dinámica nacionalidad-cat'!$A$4,"indicador","SUIZA","categoría","TOTAL","año",2010)</f>
        <v>1.2264922322158627E-3</v>
      </c>
      <c r="I22" s="287">
        <f>GETPIVOTDATA("dato",'[1]tabla dinámica nacionalidad-cat'!$A$4,"indicador","SUIZA","categoría","Extrahoteleros","año",2010)/GETPIVOTDATA("dato",'[1]tabla dinámica nacionalidad-cat'!$A$4,"indicador","SUIZA","categoría","TOTAL","año",2010)</f>
        <v>0.23221586263287</v>
      </c>
    </row>
    <row r="23" spans="2:9" ht="14.25" customHeight="1">
      <c r="B23" s="273" t="s">
        <v>174</v>
      </c>
      <c r="C23" s="287">
        <f>GETPIVOTDATA("dato",'[1]tabla dinámica nacionalidad-cat'!$A$4,"indicador","AUSTRIA","categoría","TOTAL","año",2010)/GETPIVOTDATA("dato",'[1]tabla dinámica nacionalidad-cat'!$A$4,"indicador","AUSTRIA","categoría","TOTAL","año",2010)</f>
        <v>1</v>
      </c>
      <c r="D23" s="287">
        <f>GETPIVOTDATA("dato",'[1]tabla dinámica nacionalidad-cat'!$A$4,"indicador","AUSTRIA","categoría","Hoteleros","año",2010)/GETPIVOTDATA("dato",'[1]tabla dinámica nacionalidad-cat'!$A$4,"indicador","AUSTRIA","categoría","TOTAL","año",2010)</f>
        <v>0.70153156518490845</v>
      </c>
      <c r="E23" s="287">
        <f>GETPIVOTDATA("dato",'[1]tabla dinámica nacionalidad-cat'!$A$4,"indicador","AUSTRIA","categoría","5 *","año",2010)/GETPIVOTDATA("dato",'[1]tabla dinámica nacionalidad-cat'!$A$4,"indicador","AUSTRIA","categoría","TOTAL","año",2010)</f>
        <v>0.12725687959158261</v>
      </c>
      <c r="F23" s="287">
        <f>GETPIVOTDATA("dato",'[1]tabla dinámica nacionalidad-cat'!$A$4,"indicador","AUSTRIA","categoría","4 *","año",2010)/GETPIVOTDATA("dato",'[1]tabla dinámica nacionalidad-cat'!$A$4,"indicador","AUSTRIA","categoría","TOTAL","año",2010)</f>
        <v>0.51301207819698669</v>
      </c>
      <c r="G23" s="287">
        <f>GETPIVOTDATA("dato",'[1]tabla dinámica nacionalidad-cat'!$A$4,"indicador","AUSTRIA","categoría","3 *","año",2010)/GETPIVOTDATA("dato",'[1]tabla dinámica nacionalidad-cat'!$A$4,"indicador","AUSTRIA","categoría","TOTAL","año",2010)</f>
        <v>6.0266467438675135E-2</v>
      </c>
      <c r="H23" s="287">
        <f>GETPIVOTDATA("dato",'[1]tabla dinámica nacionalidad-cat'!$A$4,"indicador","AUSTRIA","categoría","1* y 2 *","año",2010)/GETPIVOTDATA("dato",'[1]tabla dinámica nacionalidad-cat'!$A$4,"indicador","AUSTRIA","categoría","TOTAL","año",2010)</f>
        <v>9.9613995766405184E-4</v>
      </c>
      <c r="I23" s="287">
        <f>GETPIVOTDATA("dato",'[1]tabla dinámica nacionalidad-cat'!$A$4,"indicador","AUSTRIA","categoría","Extrahoteleros","año",2010)/GETPIVOTDATA("dato",'[1]tabla dinámica nacionalidad-cat'!$A$4,"indicador","AUSTRIA","categoría","TOTAL","año",2010)</f>
        <v>0.2984684348150915</v>
      </c>
    </row>
    <row r="24" spans="2:9" ht="14.25" customHeight="1">
      <c r="B24" s="273" t="s">
        <v>175</v>
      </c>
      <c r="C24" s="287">
        <f>GETPIVOTDATA("dato",'[1]tabla dinámica nacionalidad-cat'!$A$4,"indicador","RUSIA","categoría","TOTAL","año",2010)/GETPIVOTDATA("dato",'[1]tabla dinámica nacionalidad-cat'!$A$4,"indicador","RUSIA","categoría","TOTAL","año",2010)</f>
        <v>1</v>
      </c>
      <c r="D24" s="287">
        <f>GETPIVOTDATA("dato",'[1]tabla dinámica nacionalidad-cat'!$A$4,"indicador","RUSIA","categoría","Hoteleros","año",2010)/GETPIVOTDATA("dato",'[1]tabla dinámica nacionalidad-cat'!$A$4,"indicador","RUSIA","categoría","TOTAL","año",2010)</f>
        <v>0.41692302124425462</v>
      </c>
      <c r="E24" s="287">
        <f>GETPIVOTDATA("dato",'[1]tabla dinámica nacionalidad-cat'!$A$4,"indicador","RUSIA","categoría","5 *","año",2010)/GETPIVOTDATA("dato",'[1]tabla dinámica nacionalidad-cat'!$A$4,"indicador","RUSIA","categoría","TOTAL","año",2010)</f>
        <v>0.12938366327675438</v>
      </c>
      <c r="F24" s="287">
        <f>GETPIVOTDATA("dato",'[1]tabla dinámica nacionalidad-cat'!$A$4,"indicador","RUSIA","categoría","4 *","año",2010)/GETPIVOTDATA("dato",'[1]tabla dinámica nacionalidad-cat'!$A$4,"indicador","RUSIA","categoría","TOTAL","año",2010)</f>
        <v>0.20737577358763706</v>
      </c>
      <c r="G24" s="287">
        <f>GETPIVOTDATA("dato",'[1]tabla dinámica nacionalidad-cat'!$A$4,"indicador","RUSIA","categoría","3 *","año",2010)/GETPIVOTDATA("dato",'[1]tabla dinámica nacionalidad-cat'!$A$4,"indicador","RUSIA","categoría","TOTAL","año",2010)</f>
        <v>6.0620317759038762E-2</v>
      </c>
      <c r="H24" s="287">
        <f>GETPIVOTDATA("dato",'[1]tabla dinámica nacionalidad-cat'!$A$4,"indicador","RUSIA","categoría","1* y 2 *","año",2010)/GETPIVOTDATA("dato",'[1]tabla dinámica nacionalidad-cat'!$A$4,"indicador","RUSIA","categoría","TOTAL","año",2010)</f>
        <v>1.9543266620824437E-2</v>
      </c>
      <c r="I24" s="287">
        <f>GETPIVOTDATA("dato",'[1]tabla dinámica nacionalidad-cat'!$A$4,"indicador","RUSIA","categoría","Extrahoteleros","año",2010)/GETPIVOTDATA("dato",'[1]tabla dinámica nacionalidad-cat'!$A$4,"indicador","RUSIA","categoría","TOTAL","año",2010)</f>
        <v>0.58307697875574538</v>
      </c>
    </row>
    <row r="25" spans="2:9" ht="14.25" customHeight="1">
      <c r="B25" s="277" t="s">
        <v>176</v>
      </c>
      <c r="C25" s="287">
        <f>GETPIVOTDATA("dato",'[1]tabla dinámica nacionalidad-cat'!$A$4,"indicador","PAÍSES DEL ESTE","categoría","TOTAL","año",2010)/GETPIVOTDATA("dato",'[1]tabla dinámica nacionalidad-cat'!$A$4,"indicador","PAÍSES DEL ESTE","categoría","TOTAL","año",2010)</f>
        <v>1</v>
      </c>
      <c r="D25" s="287">
        <f>GETPIVOTDATA("dato",'[1]tabla dinámica nacionalidad-cat'!$A$4,"indicador","PAÍSES DEL ESTE","categoría","Hoteleros","año",2010)/GETPIVOTDATA("dato",'[1]tabla dinámica nacionalidad-cat'!$A$4,"indicador","PAÍSES DEL ESTE","categoría","TOTAL","año",2010)</f>
        <v>0.50990136003586906</v>
      </c>
      <c r="E25" s="287">
        <f>GETPIVOTDATA("dato",'[1]tabla dinámica nacionalidad-cat'!$A$4,"indicador","PAÍSES DEL ESTE","categoría","5 *","año",2010)/GETPIVOTDATA("dato",'[1]tabla dinámica nacionalidad-cat'!$A$4,"indicador","PAÍSES DEL ESTE","categoría","TOTAL","año",2010)</f>
        <v>5.1001345090419967E-2</v>
      </c>
      <c r="F25" s="287">
        <f>GETPIVOTDATA("dato",'[1]tabla dinámica nacionalidad-cat'!$A$4,"indicador","PAÍSES DEL ESTE","categoría","4 *","año",2010)/GETPIVOTDATA("dato",'[1]tabla dinámica nacionalidad-cat'!$A$4,"indicador","PAÍSES DEL ESTE","categoría","TOTAL","año",2010)</f>
        <v>0.3748318636975041</v>
      </c>
      <c r="G25" s="287">
        <f>GETPIVOTDATA("dato",'[1]tabla dinámica nacionalidad-cat'!$A$4,"indicador","PAÍSES DEL ESTE","categoría","3 *","año",2010)/GETPIVOTDATA("dato",'[1]tabla dinámica nacionalidad-cat'!$A$4,"indicador","PAÍSES DEL ESTE","categoría","TOTAL","año",2010)</f>
        <v>8.2050515617994327E-2</v>
      </c>
      <c r="H25" s="287">
        <f>GETPIVOTDATA("dato",'[1]tabla dinámica nacionalidad-cat'!$A$4,"indicador","PAÍSES DEL ESTE","categoría","1* y 2 *","año",2010)/GETPIVOTDATA("dato",'[1]tabla dinámica nacionalidad-cat'!$A$4,"indicador","PAÍSES DEL ESTE","categoría","TOTAL","año",2010)</f>
        <v>2.01763562995068E-3</v>
      </c>
      <c r="I25" s="287">
        <f>GETPIVOTDATA("dato",'[1]tabla dinámica nacionalidad-cat'!$A$4,"indicador","PAÍSES DEL ESTE","categoría","Extrahoteleros","año",2010)/GETPIVOTDATA("dato",'[1]tabla dinámica nacionalidad-cat'!$A$4,"indicador","PAÍSES DEL ESTE","categoría","TOTAL","año",2010)</f>
        <v>0.49009863996413094</v>
      </c>
    </row>
    <row r="26" spans="2:9" ht="14.25" customHeight="1">
      <c r="B26" s="277" t="s">
        <v>177</v>
      </c>
      <c r="C26" s="287">
        <f>GETPIVOTDATA("dato",'[1]tabla dinámica nacionalidad-cat'!$A$4,"indicador","RESTO DE EUROPA","categoría","TOTAL","año",2010)/GETPIVOTDATA("dato",'[1]tabla dinámica nacionalidad-cat'!$A$4,"indicador","RESTO DE EUROPA","categoría","TOTAL","año",2010)</f>
        <v>1</v>
      </c>
      <c r="D26" s="287">
        <f>GETPIVOTDATA("dato",'[1]tabla dinámica nacionalidad-cat'!$A$4,"indicador","RESTO DE EUROPA","categoría","Hoteleros","año",2010)/GETPIVOTDATA("dato",'[1]tabla dinámica nacionalidad-cat'!$A$4,"indicador","RESTO DE EUROPA","categoría","TOTAL","año",2010)</f>
        <v>0.76031492084877061</v>
      </c>
      <c r="E26" s="287">
        <f>GETPIVOTDATA("dato",'[1]tabla dinámica nacionalidad-cat'!$A$4,"indicador","RESTO DE EUROPA","categoría","5 *","año",2010)/GETPIVOTDATA("dato",'[1]tabla dinámica nacionalidad-cat'!$A$4,"indicador","RESTO DE EUROPA","categoría","TOTAL","año",2010)</f>
        <v>6.9004715392388005E-2</v>
      </c>
      <c r="F26" s="287">
        <f>GETPIVOTDATA("dato",'[1]tabla dinámica nacionalidad-cat'!$A$4,"indicador","RESTO DE EUROPA","categoría","4 *","año",2010)/GETPIVOTDATA("dato",'[1]tabla dinámica nacionalidad-cat'!$A$4,"indicador","RESTO DE EUROPA","categoría","TOTAL","año",2010)</f>
        <v>0.52484001347254972</v>
      </c>
      <c r="G26" s="287">
        <f>GETPIVOTDATA("dato",'[1]tabla dinámica nacionalidad-cat'!$A$4,"indicador","RESTO DE EUROPA","categoría","3 *","año",2010)/GETPIVOTDATA("dato",'[1]tabla dinámica nacionalidad-cat'!$A$4,"indicador","RESTO DE EUROPA","categoría","TOTAL","año",2010)</f>
        <v>0.16638598854833278</v>
      </c>
      <c r="H26" s="287">
        <f>GETPIVOTDATA("dato",'[1]tabla dinámica nacionalidad-cat'!$A$4,"indicador","RESTO DE EUROPA","categoría","1* y 2 *","año",2010)/GETPIVOTDATA("dato",'[1]tabla dinámica nacionalidad-cat'!$A$4,"indicador","RESTO DE EUROPA","categoría","TOTAL","año",2010)</f>
        <v>8.4203435500168405E-5</v>
      </c>
      <c r="I26" s="287">
        <f>GETPIVOTDATA("dato",'[1]tabla dinámica nacionalidad-cat'!$A$4,"indicador","RESTO DE EUROPA","categoría","Extrahoteleros","año",2010)/GETPIVOTDATA("dato",'[1]tabla dinámica nacionalidad-cat'!$A$4,"indicador","RESTO DE EUROPA","categoría","TOTAL","año",2010)</f>
        <v>0.23968507915122936</v>
      </c>
    </row>
    <row r="27" spans="2:9" ht="14.25" customHeight="1">
      <c r="B27" s="231" t="s">
        <v>178</v>
      </c>
      <c r="C27" s="287">
        <f>GETPIVOTDATA("dato",'[1]tabla dinámica nacionalidad-cat'!$A$4,"indicador","USA","categoría","TOTAL","año",2010)/GETPIVOTDATA("dato",'[1]tabla dinámica nacionalidad-cat'!$A$4,"indicador","USA","categoría","TOTAL","año",2010)</f>
        <v>1</v>
      </c>
      <c r="D27" s="287">
        <f>GETPIVOTDATA("dato",'[1]tabla dinámica nacionalidad-cat'!$A$4,"indicador","USA","categoría","Hoteleros","año",2010)/GETPIVOTDATA("dato",'[1]tabla dinámica nacionalidad-cat'!$A$4,"indicador","USA","categoría","TOTAL","año",2010)</f>
        <v>0.62864583333333335</v>
      </c>
      <c r="E27" s="287">
        <f>GETPIVOTDATA("dato",'[1]tabla dinámica nacionalidad-cat'!$A$4,"indicador","USA","categoría","5 *","año",2010)/GETPIVOTDATA("dato",'[1]tabla dinámica nacionalidad-cat'!$A$4,"indicador","USA","categoría","TOTAL","año",2010)</f>
        <v>0.31302083333333336</v>
      </c>
      <c r="F27" s="287">
        <f>GETPIVOTDATA("dato",'[1]tabla dinámica nacionalidad-cat'!$A$4,"indicador","USA","categoría","4 *","año",2010)/GETPIVOTDATA("dato",'[1]tabla dinámica nacionalidad-cat'!$A$4,"indicador","USA","categoría","TOTAL","año",2010)</f>
        <v>0.28958333333333336</v>
      </c>
      <c r="G27" s="287">
        <f>GETPIVOTDATA("dato",'[1]tabla dinámica nacionalidad-cat'!$A$4,"indicador","USA","categoría","3 *","año",2010)/GETPIVOTDATA("dato",'[1]tabla dinámica nacionalidad-cat'!$A$4,"indicador","USA","categoría","TOTAL","año",2010)</f>
        <v>2.3958333333333335E-2</v>
      </c>
      <c r="H27" s="287">
        <f>GETPIVOTDATA("dato",'[1]tabla dinámica nacionalidad-cat'!$A$4,"indicador","USA","categoría","1* y 2 *","año",2010)/GETPIVOTDATA("dato",'[1]tabla dinámica nacionalidad-cat'!$A$4,"indicador","USA","categoría","TOTAL","año",2010)</f>
        <v>2.0833333333333333E-3</v>
      </c>
      <c r="I27" s="287">
        <f>GETPIVOTDATA("dato",'[1]tabla dinámica nacionalidad-cat'!$A$4,"indicador","USA","categoría","Extrahoteleros","año",2010)/GETPIVOTDATA("dato",'[1]tabla dinámica nacionalidad-cat'!$A$4,"indicador","USA","categoría","TOTAL","año",2010)</f>
        <v>0.37135416666666665</v>
      </c>
    </row>
    <row r="28" spans="2:9" ht="14.25" customHeight="1">
      <c r="B28" s="277" t="s">
        <v>179</v>
      </c>
      <c r="C28" s="287">
        <f>GETPIVOTDATA("dato",'[1]tabla dinámica nacionalidad-cat'!$A$4,"indicador","RESTO DE AMÉRICA","categoría","TOTAL","año",2010)/GETPIVOTDATA("dato",'[1]tabla dinámica nacionalidad-cat'!$A$4,"indicador","RESTO DE AMÉRICA","categoría","TOTAL","año",2010)</f>
        <v>1</v>
      </c>
      <c r="D28" s="287">
        <f>GETPIVOTDATA("dato",'[1]tabla dinámica nacionalidad-cat'!$A$4,"indicador","RESTO DE AMÉRICA","categoría","Hoteleros","año",2010)/GETPIVOTDATA("dato",'[1]tabla dinámica nacionalidad-cat'!$A$4,"indicador","RESTO DE AMÉRICA","categoría","TOTAL","año",2010)</f>
        <v>0.70808561236623069</v>
      </c>
      <c r="E28" s="287">
        <f>GETPIVOTDATA("dato",'[1]tabla dinámica nacionalidad-cat'!$A$4,"indicador","RESTO DE AMÉRICA","categoría","5 *","año",2010)/GETPIVOTDATA("dato",'[1]tabla dinámica nacionalidad-cat'!$A$4,"indicador","RESTO DE AMÉRICA","categoría","TOTAL","año",2010)</f>
        <v>0.16527942925089179</v>
      </c>
      <c r="F28" s="287">
        <f>GETPIVOTDATA("dato",'[1]tabla dinámica nacionalidad-cat'!$A$4,"indicador","RESTO DE AMÉRICA","categoría","4 *","año",2010)/GETPIVOTDATA("dato",'[1]tabla dinámica nacionalidad-cat'!$A$4,"indicador","RESTO DE AMÉRICA","categoría","TOTAL","año",2010)</f>
        <v>0.45659928656361476</v>
      </c>
      <c r="G28" s="287">
        <f>GETPIVOTDATA("dato",'[1]tabla dinámica nacionalidad-cat'!$A$4,"indicador","RESTO DE AMÉRICA","categoría","3 *","año",2010)/GETPIVOTDATA("dato",'[1]tabla dinámica nacionalidad-cat'!$A$4,"indicador","RESTO DE AMÉRICA","categoría","TOTAL","año",2010)</f>
        <v>8.0856123662306781E-2</v>
      </c>
      <c r="H28" s="287">
        <f>GETPIVOTDATA("dato",'[1]tabla dinámica nacionalidad-cat'!$A$4,"indicador","RESTO DE AMÉRICA","categoría","1* y 2 *","año",2010)/GETPIVOTDATA("dato",'[1]tabla dinámica nacionalidad-cat'!$A$4,"indicador","RESTO DE AMÉRICA","categoría","TOTAL","año",2010)</f>
        <v>5.3507728894173602E-3</v>
      </c>
      <c r="I28" s="287">
        <f>GETPIVOTDATA("dato",'[1]tabla dinámica nacionalidad-cat'!$A$4,"indicador","RESTO DE AMÉRICA","categoría","Extrahoteleros","año",2010)/GETPIVOTDATA("dato",'[1]tabla dinámica nacionalidad-cat'!$A$4,"indicador","RESTO DE AMÉRICA","categoría","TOTAL","año",2010)</f>
        <v>0.29191438763376931</v>
      </c>
    </row>
    <row r="29" spans="2:9" ht="14.25" customHeight="1">
      <c r="B29" s="277" t="s">
        <v>180</v>
      </c>
      <c r="C29" s="287">
        <f>GETPIVOTDATA("dato",'[1]tabla dinámica nacionalidad-cat'!$A$4,"indicador","RESTO DEL MUNDO","categoría","TOTAL","año",2010)/GETPIVOTDATA("dato",'[1]tabla dinámica nacionalidad-cat'!$A$4,"indicador","RESTO DEL MUNDO","categoría","TOTAL","año",2010)</f>
        <v>1</v>
      </c>
      <c r="D29" s="287">
        <f>GETPIVOTDATA("dato",'[1]tabla dinámica nacionalidad-cat'!$A$4,"indicador","RESTO DEL MUNDO","categoría","Hoteleros","año",2010)/GETPIVOTDATA("dato",'[1]tabla dinámica nacionalidad-cat'!$A$4,"indicador","RESTO DEL MUNDO","categoría","TOTAL","año",2010)</f>
        <v>0.8789799528301887</v>
      </c>
      <c r="E29" s="287">
        <f>GETPIVOTDATA("dato",'[1]tabla dinámica nacionalidad-cat'!$A$4,"indicador","RESTO DEL MUNDO","categoría","5 *","año",2010)/GETPIVOTDATA("dato",'[1]tabla dinámica nacionalidad-cat'!$A$4,"indicador","RESTO DEL MUNDO","categoría","TOTAL","año",2010)</f>
        <v>0.23599646226415094</v>
      </c>
      <c r="F29" s="287">
        <f>GETPIVOTDATA("dato",'[1]tabla dinámica nacionalidad-cat'!$A$4,"indicador","RESTO DEL MUNDO","categoría","4 *","año",2010)/GETPIVOTDATA("dato",'[1]tabla dinámica nacionalidad-cat'!$A$4,"indicador","RESTO DEL MUNDO","categoría","TOTAL","año",2010)</f>
        <v>0.53405070754716977</v>
      </c>
      <c r="G29" s="287">
        <f>GETPIVOTDATA("dato",'[1]tabla dinámica nacionalidad-cat'!$A$4,"indicador","RESTO DEL MUNDO","categoría","3 *","año",2010)/GETPIVOTDATA("dato",'[1]tabla dinámica nacionalidad-cat'!$A$4,"indicador","RESTO DEL MUNDO","categoría","TOTAL","año",2010)</f>
        <v>7.9746462264150941E-2</v>
      </c>
      <c r="H29" s="287">
        <f>GETPIVOTDATA("dato",'[1]tabla dinámica nacionalidad-cat'!$A$4,"indicador","RESTO DEL MUNDO","categoría","1* y 2 *","año",2010)/GETPIVOTDATA("dato",'[1]tabla dinámica nacionalidad-cat'!$A$4,"indicador","RESTO DEL MUNDO","categoría","TOTAL","año",2010)</f>
        <v>2.9186320754716982E-2</v>
      </c>
      <c r="I29" s="287">
        <f>GETPIVOTDATA("dato",'[1]tabla dinámica nacionalidad-cat'!$A$4,"indicador","RESTO DEL MUNDO","categoría","Extrahoteleros","año",2010)/GETPIVOTDATA("dato",'[1]tabla dinámica nacionalidad-cat'!$A$4,"indicador","RESTO DEL MUNDO","categoría","TOTAL","año",2010)</f>
        <v>0.12102004716981132</v>
      </c>
    </row>
    <row r="30" spans="2:9" ht="14.25" customHeight="1">
      <c r="B30" s="288" t="s">
        <v>181</v>
      </c>
      <c r="C30" s="289">
        <f>(GETPIVOTDATA("dato",'[1]tabla dinámica nacionalidad-cat'!$A$4,"indicador","TOTAL","categoría","TOTAL","año",2010)-GETPIVOTDATA("dato",'[1]tabla dinámica nacionalidad-cat'!$A$4,"indicador","España","categoría","TOTAL","año",2010))/(GETPIVOTDATA("dato",'[1]tabla dinámica nacionalidad-cat'!$A$4,"indicador","TOTAL","categoría","TOTAL","año",2010)-GETPIVOTDATA("dato",'[1]tabla dinámica nacionalidad-cat'!$A$4,"indicador","España","categoría","TOTAL","año",2010))</f>
        <v>1</v>
      </c>
      <c r="D30" s="289">
        <f>(GETPIVOTDATA("dato",'[1]tabla dinámica nacionalidad-cat'!$A$4,"indicador","TOTAL","categoría","hoteleros","año",2010)-GETPIVOTDATA("dato",'[1]tabla dinámica nacionalidad-cat'!$A$4,"indicador","España","categoría","hoteleros","año",2010))/(GETPIVOTDATA("dato",'[1]tabla dinámica nacionalidad-cat'!$A$4,"indicador","TOTAL","categoría","TOTAL","año",2010)-GETPIVOTDATA("dato",'[1]tabla dinámica nacionalidad-cat'!$A$4,"indicador","España","categoría","TOTAL","año",2010))</f>
        <v>0.63586738749154259</v>
      </c>
      <c r="E30" s="289">
        <f>(GETPIVOTDATA("dato",'[1]tabla dinámica nacionalidad-cat'!$A$4,"indicador","TOTAL","categoría","5 *","año",2010)-GETPIVOTDATA("dato",'[1]tabla dinámica nacionalidad-cat'!$A$4,"indicador","España","categoría","5 *","año",2010))/(GETPIVOTDATA("dato",'[1]tabla dinámica nacionalidad-cat'!$A$4,"indicador","TOTAL","categoría","TOTAL","año",2010)-GETPIVOTDATA("dato",'[1]tabla dinámica nacionalidad-cat'!$A$4,"indicador","España","categoría","TOTAL","año",2010))</f>
        <v>9.6751689843857777E-2</v>
      </c>
      <c r="F30" s="289">
        <f>(GETPIVOTDATA("dato",'[1]tabla dinámica nacionalidad-cat'!$A$4,"indicador","TOTAL","categoría","4 *","año",2010)-GETPIVOTDATA("dato",'[1]tabla dinámica nacionalidad-cat'!$A$4,"indicador","España","categoría","4 *","año",2010))/(GETPIVOTDATA("dato",'[1]tabla dinámica nacionalidad-cat'!$A$4,"indicador","TOTAL","categoría","TOTAL","año",2010)-GETPIVOTDATA("dato",'[1]tabla dinámica nacionalidad-cat'!$A$4,"indicador","España","categoría","TOTAL","año",2010))</f>
        <v>0.44645510500351437</v>
      </c>
      <c r="G30" s="289">
        <f>(GETPIVOTDATA("dato",'[1]tabla dinámica nacionalidad-cat'!$A$4,"indicador","TOTAL","categoría","3 *","año",2010)-GETPIVOTDATA("dato",'[1]tabla dinámica nacionalidad-cat'!$A$4,"indicador","España","categoría","3 *","año",2010))/(GETPIVOTDATA("dato",'[1]tabla dinámica nacionalidad-cat'!$A$4,"indicador","TOTAL","categoría","TOTAL","año",2010)-GETPIVOTDATA("dato",'[1]tabla dinámica nacionalidad-cat'!$A$4,"indicador","España","categoría","TOTAL","año",2010))</f>
        <v>8.1811433788994498E-2</v>
      </c>
      <c r="H30" s="289">
        <f>(GETPIVOTDATA("dato",'[1]tabla dinámica nacionalidad-cat'!$A$4,"indicador","TOTAL","categoría","1* y 2 *","año",2010)-GETPIVOTDATA("dato",'[1]tabla dinámica nacionalidad-cat'!$A$4,"indicador","España","categoría","1* y 2 *","año",2010))/(GETPIVOTDATA("dato",'[1]tabla dinámica nacionalidad-cat'!$A$4,"indicador","TOTAL","categoría","TOTAL","año",2010)-GETPIVOTDATA("dato",'[1]tabla dinámica nacionalidad-cat'!$A$4,"indicador","España","categoría","TOTAL","año",2010))</f>
        <v>1.0849158855175947E-2</v>
      </c>
      <c r="I30" s="289">
        <f>(GETPIVOTDATA("dato",'[1]tabla dinámica nacionalidad-cat'!$A$4,"indicador","TOTAL","categoría","extrahoteleros","año",2010)-GETPIVOTDATA("dato",'[1]tabla dinámica nacionalidad-cat'!$A$4,"indicador","España","categoría","extrahoteleros","año",2010))/(GETPIVOTDATA("dato",'[1]tabla dinámica nacionalidad-cat'!$A$4,"indicador","TOTAL","categoría","TOTAL","año",2010)-GETPIVOTDATA("dato",'[1]tabla dinámica nacionalidad-cat'!$A$4,"indicador","España","categoría","TOTAL","año",2010))</f>
        <v>0.36413261250845741</v>
      </c>
    </row>
    <row r="31" spans="2:9" ht="14.25" customHeight="1">
      <c r="B31" s="281" t="s">
        <v>107</v>
      </c>
      <c r="C31" s="290">
        <f>GETPIVOTDATA("dato",'[1]tabla dinámica nacionalidad-cat'!$A$4,"indicador","TOTAL","categoría","TOTAL","año",2010)/GETPIVOTDATA("dato",'[1]tabla dinámica nacionalidad-cat'!$A$4,"indicador","TOTAL","categoría","TOTAL","año",2010)</f>
        <v>1</v>
      </c>
      <c r="D31" s="290">
        <f>GETPIVOTDATA("dato",'[1]tabla dinámica nacionalidad-cat'!$A$4,"indicador","TOTAL","categoría","Hoteleros","año",2010)/GETPIVOTDATA("dato",'[1]tabla dinámica nacionalidad-cat'!$A$4,"indicador","TOTAL","categoría","TOTAL","año",2010)</f>
        <v>0.6581528441793717</v>
      </c>
      <c r="E31" s="290">
        <f>GETPIVOTDATA("dato",'[1]tabla dinámica nacionalidad-cat'!$A$4,"indicador","TOTAL","categoría","5 *","año",2010)/GETPIVOTDATA("dato",'[1]tabla dinámica nacionalidad-cat'!$A$4,"indicador","TOTAL","categoría","TOTAL","año",2010)</f>
        <v>9.4837654276205885E-2</v>
      </c>
      <c r="F31" s="290">
        <f>GETPIVOTDATA("dato",'[1]tabla dinámica nacionalidad-cat'!$A$4,"indicador","TOTAL","categoría","4 *","año",2010)/GETPIVOTDATA("dato",'[1]tabla dinámica nacionalidad-cat'!$A$4,"indicador","TOTAL","categoría","TOTAL","año",2010)</f>
        <v>0.45114710279017822</v>
      </c>
      <c r="G31" s="290">
        <f>GETPIVOTDATA("dato",'[1]tabla dinámica nacionalidad-cat'!$A$4,"indicador","TOTAL","categoría","3 *","año",2010)/GETPIVOTDATA("dato",'[1]tabla dinámica nacionalidad-cat'!$A$4,"indicador","TOTAL","categoría","TOTAL","año",2010)</f>
        <v>0.10200340661889498</v>
      </c>
      <c r="H31" s="290">
        <f>GETPIVOTDATA("dato",'[1]tabla dinámica nacionalidad-cat'!$A$4,"indicador","TOTAL","categoría","1* y 2 *","año",2010)/GETPIVOTDATA("dato",'[1]tabla dinámica nacionalidad-cat'!$A$4,"indicador","TOTAL","categoría","TOTAL","año",2010)</f>
        <v>1.0164680494092571E-2</v>
      </c>
      <c r="I31" s="290">
        <f>GETPIVOTDATA("dato",'[1]tabla dinámica nacionalidad-cat'!$A$4,"indicador","TOTAL","categoría","Extrahoteleros","año",2010)/GETPIVOTDATA("dato",'[1]tabla dinámica nacionalidad-cat'!$A$4,"indicador","TOTAL","categoría","TOTAL","año",2010)</f>
        <v>0.34184715582062836</v>
      </c>
    </row>
    <row r="32" spans="2:9" ht="14.25" customHeight="1">
      <c r="B32" s="283" t="s">
        <v>90</v>
      </c>
      <c r="C32" s="284"/>
      <c r="D32" s="284"/>
      <c r="E32" s="284"/>
      <c r="F32" s="284"/>
      <c r="G32" s="284"/>
      <c r="H32" s="284"/>
      <c r="I32" s="285"/>
    </row>
  </sheetData>
  <mergeCells count="7">
    <mergeCell ref="B32:I32"/>
    <mergeCell ref="B5:I5"/>
    <mergeCell ref="B6:I6"/>
    <mergeCell ref="B7:B8"/>
    <mergeCell ref="C7:C8"/>
    <mergeCell ref="D7:H7"/>
    <mergeCell ref="I7:I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7:K34"/>
  <sheetViews>
    <sheetView showGridLines="0" showRowColHeaders="0" showOutlineSymbols="0" zoomScaleNormal="100" workbookViewId="0">
      <selection activeCell="B25" sqref="B25"/>
    </sheetView>
  </sheetViews>
  <sheetFormatPr baseColWidth="10" defaultRowHeight="12"/>
  <cols>
    <col min="1" max="1" width="11.42578125" style="261"/>
    <col min="2" max="2" width="18" style="261" customWidth="1"/>
    <col min="3" max="3" width="8.7109375" style="261" customWidth="1"/>
    <col min="4" max="4" width="10.85546875" style="261" customWidth="1"/>
    <col min="5" max="8" width="9.7109375" style="261" bestFit="1" customWidth="1"/>
    <col min="9" max="9" width="16.5703125" style="261" customWidth="1"/>
    <col min="10" max="256" width="11.42578125" style="261"/>
    <col min="257" max="257" width="15.85546875" style="261" bestFit="1" customWidth="1"/>
    <col min="258" max="258" width="8.7109375" style="261" customWidth="1"/>
    <col min="259" max="259" width="10.85546875" style="261" customWidth="1"/>
    <col min="260" max="264" width="9.7109375" style="261" bestFit="1" customWidth="1"/>
    <col min="265" max="265" width="16.5703125" style="261" customWidth="1"/>
    <col min="266" max="512" width="11.42578125" style="261"/>
    <col min="513" max="513" width="15.85546875" style="261" bestFit="1" customWidth="1"/>
    <col min="514" max="514" width="8.7109375" style="261" customWidth="1"/>
    <col min="515" max="515" width="10.85546875" style="261" customWidth="1"/>
    <col min="516" max="520" width="9.7109375" style="261" bestFit="1" customWidth="1"/>
    <col min="521" max="521" width="16.5703125" style="261" customWidth="1"/>
    <col min="522" max="768" width="11.42578125" style="261"/>
    <col min="769" max="769" width="15.85546875" style="261" bestFit="1" customWidth="1"/>
    <col min="770" max="770" width="8.7109375" style="261" customWidth="1"/>
    <col min="771" max="771" width="10.85546875" style="261" customWidth="1"/>
    <col min="772" max="776" width="9.7109375" style="261" bestFit="1" customWidth="1"/>
    <col min="777" max="777" width="16.5703125" style="261" customWidth="1"/>
    <col min="778" max="1024" width="11.42578125" style="261"/>
    <col min="1025" max="1025" width="15.85546875" style="261" bestFit="1" customWidth="1"/>
    <col min="1026" max="1026" width="8.7109375" style="261" customWidth="1"/>
    <col min="1027" max="1027" width="10.85546875" style="261" customWidth="1"/>
    <col min="1028" max="1032" width="9.7109375" style="261" bestFit="1" customWidth="1"/>
    <col min="1033" max="1033" width="16.5703125" style="261" customWidth="1"/>
    <col min="1034" max="1280" width="11.42578125" style="261"/>
    <col min="1281" max="1281" width="15.85546875" style="261" bestFit="1" customWidth="1"/>
    <col min="1282" max="1282" width="8.7109375" style="261" customWidth="1"/>
    <col min="1283" max="1283" width="10.85546875" style="261" customWidth="1"/>
    <col min="1284" max="1288" width="9.7109375" style="261" bestFit="1" customWidth="1"/>
    <col min="1289" max="1289" width="16.5703125" style="261" customWidth="1"/>
    <col min="1290" max="1536" width="11.42578125" style="261"/>
    <col min="1537" max="1537" width="15.85546875" style="261" bestFit="1" customWidth="1"/>
    <col min="1538" max="1538" width="8.7109375" style="261" customWidth="1"/>
    <col min="1539" max="1539" width="10.85546875" style="261" customWidth="1"/>
    <col min="1540" max="1544" width="9.7109375" style="261" bestFit="1" customWidth="1"/>
    <col min="1545" max="1545" width="16.5703125" style="261" customWidth="1"/>
    <col min="1546" max="1792" width="11.42578125" style="261"/>
    <col min="1793" max="1793" width="15.85546875" style="261" bestFit="1" customWidth="1"/>
    <col min="1794" max="1794" width="8.7109375" style="261" customWidth="1"/>
    <col min="1795" max="1795" width="10.85546875" style="261" customWidth="1"/>
    <col min="1796" max="1800" width="9.7109375" style="261" bestFit="1" customWidth="1"/>
    <col min="1801" max="1801" width="16.5703125" style="261" customWidth="1"/>
    <col min="1802" max="2048" width="11.42578125" style="261"/>
    <col min="2049" max="2049" width="15.85546875" style="261" bestFit="1" customWidth="1"/>
    <col min="2050" max="2050" width="8.7109375" style="261" customWidth="1"/>
    <col min="2051" max="2051" width="10.85546875" style="261" customWidth="1"/>
    <col min="2052" max="2056" width="9.7109375" style="261" bestFit="1" customWidth="1"/>
    <col min="2057" max="2057" width="16.5703125" style="261" customWidth="1"/>
    <col min="2058" max="2304" width="11.42578125" style="261"/>
    <col min="2305" max="2305" width="15.85546875" style="261" bestFit="1" customWidth="1"/>
    <col min="2306" max="2306" width="8.7109375" style="261" customWidth="1"/>
    <col min="2307" max="2307" width="10.85546875" style="261" customWidth="1"/>
    <col min="2308" max="2312" width="9.7109375" style="261" bestFit="1" customWidth="1"/>
    <col min="2313" max="2313" width="16.5703125" style="261" customWidth="1"/>
    <col min="2314" max="2560" width="11.42578125" style="261"/>
    <col min="2561" max="2561" width="15.85546875" style="261" bestFit="1" customWidth="1"/>
    <col min="2562" max="2562" width="8.7109375" style="261" customWidth="1"/>
    <col min="2563" max="2563" width="10.85546875" style="261" customWidth="1"/>
    <col min="2564" max="2568" width="9.7109375" style="261" bestFit="1" customWidth="1"/>
    <col min="2569" max="2569" width="16.5703125" style="261" customWidth="1"/>
    <col min="2570" max="2816" width="11.42578125" style="261"/>
    <col min="2817" max="2817" width="15.85546875" style="261" bestFit="1" customWidth="1"/>
    <col min="2818" max="2818" width="8.7109375" style="261" customWidth="1"/>
    <col min="2819" max="2819" width="10.85546875" style="261" customWidth="1"/>
    <col min="2820" max="2824" width="9.7109375" style="261" bestFit="1" customWidth="1"/>
    <col min="2825" max="2825" width="16.5703125" style="261" customWidth="1"/>
    <col min="2826" max="3072" width="11.42578125" style="261"/>
    <col min="3073" max="3073" width="15.85546875" style="261" bestFit="1" customWidth="1"/>
    <col min="3074" max="3074" width="8.7109375" style="261" customWidth="1"/>
    <col min="3075" max="3075" width="10.85546875" style="261" customWidth="1"/>
    <col min="3076" max="3080" width="9.7109375" style="261" bestFit="1" customWidth="1"/>
    <col min="3081" max="3081" width="16.5703125" style="261" customWidth="1"/>
    <col min="3082" max="3328" width="11.42578125" style="261"/>
    <col min="3329" max="3329" width="15.85546875" style="261" bestFit="1" customWidth="1"/>
    <col min="3330" max="3330" width="8.7109375" style="261" customWidth="1"/>
    <col min="3331" max="3331" width="10.85546875" style="261" customWidth="1"/>
    <col min="3332" max="3336" width="9.7109375" style="261" bestFit="1" customWidth="1"/>
    <col min="3337" max="3337" width="16.5703125" style="261" customWidth="1"/>
    <col min="3338" max="3584" width="11.42578125" style="261"/>
    <col min="3585" max="3585" width="15.85546875" style="261" bestFit="1" customWidth="1"/>
    <col min="3586" max="3586" width="8.7109375" style="261" customWidth="1"/>
    <col min="3587" max="3587" width="10.85546875" style="261" customWidth="1"/>
    <col min="3588" max="3592" width="9.7109375" style="261" bestFit="1" customWidth="1"/>
    <col min="3593" max="3593" width="16.5703125" style="261" customWidth="1"/>
    <col min="3594" max="3840" width="11.42578125" style="261"/>
    <col min="3841" max="3841" width="15.85546875" style="261" bestFit="1" customWidth="1"/>
    <col min="3842" max="3842" width="8.7109375" style="261" customWidth="1"/>
    <col min="3843" max="3843" width="10.85546875" style="261" customWidth="1"/>
    <col min="3844" max="3848" width="9.7109375" style="261" bestFit="1" customWidth="1"/>
    <col min="3849" max="3849" width="16.5703125" style="261" customWidth="1"/>
    <col min="3850" max="4096" width="11.42578125" style="261"/>
    <col min="4097" max="4097" width="15.85546875" style="261" bestFit="1" customWidth="1"/>
    <col min="4098" max="4098" width="8.7109375" style="261" customWidth="1"/>
    <col min="4099" max="4099" width="10.85546875" style="261" customWidth="1"/>
    <col min="4100" max="4104" width="9.7109375" style="261" bestFit="1" customWidth="1"/>
    <col min="4105" max="4105" width="16.5703125" style="261" customWidth="1"/>
    <col min="4106" max="4352" width="11.42578125" style="261"/>
    <col min="4353" max="4353" width="15.85546875" style="261" bestFit="1" customWidth="1"/>
    <col min="4354" max="4354" width="8.7109375" style="261" customWidth="1"/>
    <col min="4355" max="4355" width="10.85546875" style="261" customWidth="1"/>
    <col min="4356" max="4360" width="9.7109375" style="261" bestFit="1" customWidth="1"/>
    <col min="4361" max="4361" width="16.5703125" style="261" customWidth="1"/>
    <col min="4362" max="4608" width="11.42578125" style="261"/>
    <col min="4609" max="4609" width="15.85546875" style="261" bestFit="1" customWidth="1"/>
    <col min="4610" max="4610" width="8.7109375" style="261" customWidth="1"/>
    <col min="4611" max="4611" width="10.85546875" style="261" customWidth="1"/>
    <col min="4612" max="4616" width="9.7109375" style="261" bestFit="1" customWidth="1"/>
    <col min="4617" max="4617" width="16.5703125" style="261" customWidth="1"/>
    <col min="4618" max="4864" width="11.42578125" style="261"/>
    <col min="4865" max="4865" width="15.85546875" style="261" bestFit="1" customWidth="1"/>
    <col min="4866" max="4866" width="8.7109375" style="261" customWidth="1"/>
    <col min="4867" max="4867" width="10.85546875" style="261" customWidth="1"/>
    <col min="4868" max="4872" width="9.7109375" style="261" bestFit="1" customWidth="1"/>
    <col min="4873" max="4873" width="16.5703125" style="261" customWidth="1"/>
    <col min="4874" max="5120" width="11.42578125" style="261"/>
    <col min="5121" max="5121" width="15.85546875" style="261" bestFit="1" customWidth="1"/>
    <col min="5122" max="5122" width="8.7109375" style="261" customWidth="1"/>
    <col min="5123" max="5123" width="10.85546875" style="261" customWidth="1"/>
    <col min="5124" max="5128" width="9.7109375" style="261" bestFit="1" customWidth="1"/>
    <col min="5129" max="5129" width="16.5703125" style="261" customWidth="1"/>
    <col min="5130" max="5376" width="11.42578125" style="261"/>
    <col min="5377" max="5377" width="15.85546875" style="261" bestFit="1" customWidth="1"/>
    <col min="5378" max="5378" width="8.7109375" style="261" customWidth="1"/>
    <col min="5379" max="5379" width="10.85546875" style="261" customWidth="1"/>
    <col min="5380" max="5384" width="9.7109375" style="261" bestFit="1" customWidth="1"/>
    <col min="5385" max="5385" width="16.5703125" style="261" customWidth="1"/>
    <col min="5386" max="5632" width="11.42578125" style="261"/>
    <col min="5633" max="5633" width="15.85546875" style="261" bestFit="1" customWidth="1"/>
    <col min="5634" max="5634" width="8.7109375" style="261" customWidth="1"/>
    <col min="5635" max="5635" width="10.85546875" style="261" customWidth="1"/>
    <col min="5636" max="5640" width="9.7109375" style="261" bestFit="1" customWidth="1"/>
    <col min="5641" max="5641" width="16.5703125" style="261" customWidth="1"/>
    <col min="5642" max="5888" width="11.42578125" style="261"/>
    <col min="5889" max="5889" width="15.85546875" style="261" bestFit="1" customWidth="1"/>
    <col min="5890" max="5890" width="8.7109375" style="261" customWidth="1"/>
    <col min="5891" max="5891" width="10.85546875" style="261" customWidth="1"/>
    <col min="5892" max="5896" width="9.7109375" style="261" bestFit="1" customWidth="1"/>
    <col min="5897" max="5897" width="16.5703125" style="261" customWidth="1"/>
    <col min="5898" max="6144" width="11.42578125" style="261"/>
    <col min="6145" max="6145" width="15.85546875" style="261" bestFit="1" customWidth="1"/>
    <col min="6146" max="6146" width="8.7109375" style="261" customWidth="1"/>
    <col min="6147" max="6147" width="10.85546875" style="261" customWidth="1"/>
    <col min="6148" max="6152" width="9.7109375" style="261" bestFit="1" customWidth="1"/>
    <col min="6153" max="6153" width="16.5703125" style="261" customWidth="1"/>
    <col min="6154" max="6400" width="11.42578125" style="261"/>
    <col min="6401" max="6401" width="15.85546875" style="261" bestFit="1" customWidth="1"/>
    <col min="6402" max="6402" width="8.7109375" style="261" customWidth="1"/>
    <col min="6403" max="6403" width="10.85546875" style="261" customWidth="1"/>
    <col min="6404" max="6408" width="9.7109375" style="261" bestFit="1" customWidth="1"/>
    <col min="6409" max="6409" width="16.5703125" style="261" customWidth="1"/>
    <col min="6410" max="6656" width="11.42578125" style="261"/>
    <col min="6657" max="6657" width="15.85546875" style="261" bestFit="1" customWidth="1"/>
    <col min="6658" max="6658" width="8.7109375" style="261" customWidth="1"/>
    <col min="6659" max="6659" width="10.85546875" style="261" customWidth="1"/>
    <col min="6660" max="6664" width="9.7109375" style="261" bestFit="1" customWidth="1"/>
    <col min="6665" max="6665" width="16.5703125" style="261" customWidth="1"/>
    <col min="6666" max="6912" width="11.42578125" style="261"/>
    <col min="6913" max="6913" width="15.85546875" style="261" bestFit="1" customWidth="1"/>
    <col min="6914" max="6914" width="8.7109375" style="261" customWidth="1"/>
    <col min="6915" max="6915" width="10.85546875" style="261" customWidth="1"/>
    <col min="6916" max="6920" width="9.7109375" style="261" bestFit="1" customWidth="1"/>
    <col min="6921" max="6921" width="16.5703125" style="261" customWidth="1"/>
    <col min="6922" max="7168" width="11.42578125" style="261"/>
    <col min="7169" max="7169" width="15.85546875" style="261" bestFit="1" customWidth="1"/>
    <col min="7170" max="7170" width="8.7109375" style="261" customWidth="1"/>
    <col min="7171" max="7171" width="10.85546875" style="261" customWidth="1"/>
    <col min="7172" max="7176" width="9.7109375" style="261" bestFit="1" customWidth="1"/>
    <col min="7177" max="7177" width="16.5703125" style="261" customWidth="1"/>
    <col min="7178" max="7424" width="11.42578125" style="261"/>
    <col min="7425" max="7425" width="15.85546875" style="261" bestFit="1" customWidth="1"/>
    <col min="7426" max="7426" width="8.7109375" style="261" customWidth="1"/>
    <col min="7427" max="7427" width="10.85546875" style="261" customWidth="1"/>
    <col min="7428" max="7432" width="9.7109375" style="261" bestFit="1" customWidth="1"/>
    <col min="7433" max="7433" width="16.5703125" style="261" customWidth="1"/>
    <col min="7434" max="7680" width="11.42578125" style="261"/>
    <col min="7681" max="7681" width="15.85546875" style="261" bestFit="1" customWidth="1"/>
    <col min="7682" max="7682" width="8.7109375" style="261" customWidth="1"/>
    <col min="7683" max="7683" width="10.85546875" style="261" customWidth="1"/>
    <col min="7684" max="7688" width="9.7109375" style="261" bestFit="1" customWidth="1"/>
    <col min="7689" max="7689" width="16.5703125" style="261" customWidth="1"/>
    <col min="7690" max="7936" width="11.42578125" style="261"/>
    <col min="7937" max="7937" width="15.85546875" style="261" bestFit="1" customWidth="1"/>
    <col min="7938" max="7938" width="8.7109375" style="261" customWidth="1"/>
    <col min="7939" max="7939" width="10.85546875" style="261" customWidth="1"/>
    <col min="7940" max="7944" width="9.7109375" style="261" bestFit="1" customWidth="1"/>
    <col min="7945" max="7945" width="16.5703125" style="261" customWidth="1"/>
    <col min="7946" max="8192" width="11.42578125" style="261"/>
    <col min="8193" max="8193" width="15.85546875" style="261" bestFit="1" customWidth="1"/>
    <col min="8194" max="8194" width="8.7109375" style="261" customWidth="1"/>
    <col min="8195" max="8195" width="10.85546875" style="261" customWidth="1"/>
    <col min="8196" max="8200" width="9.7109375" style="261" bestFit="1" customWidth="1"/>
    <col min="8201" max="8201" width="16.5703125" style="261" customWidth="1"/>
    <col min="8202" max="8448" width="11.42578125" style="261"/>
    <col min="8449" max="8449" width="15.85546875" style="261" bestFit="1" customWidth="1"/>
    <col min="8450" max="8450" width="8.7109375" style="261" customWidth="1"/>
    <col min="8451" max="8451" width="10.85546875" style="261" customWidth="1"/>
    <col min="8452" max="8456" width="9.7109375" style="261" bestFit="1" customWidth="1"/>
    <col min="8457" max="8457" width="16.5703125" style="261" customWidth="1"/>
    <col min="8458" max="8704" width="11.42578125" style="261"/>
    <col min="8705" max="8705" width="15.85546875" style="261" bestFit="1" customWidth="1"/>
    <col min="8706" max="8706" width="8.7109375" style="261" customWidth="1"/>
    <col min="8707" max="8707" width="10.85546875" style="261" customWidth="1"/>
    <col min="8708" max="8712" width="9.7109375" style="261" bestFit="1" customWidth="1"/>
    <col min="8713" max="8713" width="16.5703125" style="261" customWidth="1"/>
    <col min="8714" max="8960" width="11.42578125" style="261"/>
    <col min="8961" max="8961" width="15.85546875" style="261" bestFit="1" customWidth="1"/>
    <col min="8962" max="8962" width="8.7109375" style="261" customWidth="1"/>
    <col min="8963" max="8963" width="10.85546875" style="261" customWidth="1"/>
    <col min="8964" max="8968" width="9.7109375" style="261" bestFit="1" customWidth="1"/>
    <col min="8969" max="8969" width="16.5703125" style="261" customWidth="1"/>
    <col min="8970" max="9216" width="11.42578125" style="261"/>
    <col min="9217" max="9217" width="15.85546875" style="261" bestFit="1" customWidth="1"/>
    <col min="9218" max="9218" width="8.7109375" style="261" customWidth="1"/>
    <col min="9219" max="9219" width="10.85546875" style="261" customWidth="1"/>
    <col min="9220" max="9224" width="9.7109375" style="261" bestFit="1" customWidth="1"/>
    <col min="9225" max="9225" width="16.5703125" style="261" customWidth="1"/>
    <col min="9226" max="9472" width="11.42578125" style="261"/>
    <col min="9473" max="9473" width="15.85546875" style="261" bestFit="1" customWidth="1"/>
    <col min="9474" max="9474" width="8.7109375" style="261" customWidth="1"/>
    <col min="9475" max="9475" width="10.85546875" style="261" customWidth="1"/>
    <col min="9476" max="9480" width="9.7109375" style="261" bestFit="1" customWidth="1"/>
    <col min="9481" max="9481" width="16.5703125" style="261" customWidth="1"/>
    <col min="9482" max="9728" width="11.42578125" style="261"/>
    <col min="9729" max="9729" width="15.85546875" style="261" bestFit="1" customWidth="1"/>
    <col min="9730" max="9730" width="8.7109375" style="261" customWidth="1"/>
    <col min="9731" max="9731" width="10.85546875" style="261" customWidth="1"/>
    <col min="9732" max="9736" width="9.7109375" style="261" bestFit="1" customWidth="1"/>
    <col min="9737" max="9737" width="16.5703125" style="261" customWidth="1"/>
    <col min="9738" max="9984" width="11.42578125" style="261"/>
    <col min="9985" max="9985" width="15.85546875" style="261" bestFit="1" customWidth="1"/>
    <col min="9986" max="9986" width="8.7109375" style="261" customWidth="1"/>
    <col min="9987" max="9987" width="10.85546875" style="261" customWidth="1"/>
    <col min="9988" max="9992" width="9.7109375" style="261" bestFit="1" customWidth="1"/>
    <col min="9993" max="9993" width="16.5703125" style="261" customWidth="1"/>
    <col min="9994" max="10240" width="11.42578125" style="261"/>
    <col min="10241" max="10241" width="15.85546875" style="261" bestFit="1" customWidth="1"/>
    <col min="10242" max="10242" width="8.7109375" style="261" customWidth="1"/>
    <col min="10243" max="10243" width="10.85546875" style="261" customWidth="1"/>
    <col min="10244" max="10248" width="9.7109375" style="261" bestFit="1" customWidth="1"/>
    <col min="10249" max="10249" width="16.5703125" style="261" customWidth="1"/>
    <col min="10250" max="10496" width="11.42578125" style="261"/>
    <col min="10497" max="10497" width="15.85546875" style="261" bestFit="1" customWidth="1"/>
    <col min="10498" max="10498" width="8.7109375" style="261" customWidth="1"/>
    <col min="10499" max="10499" width="10.85546875" style="261" customWidth="1"/>
    <col min="10500" max="10504" width="9.7109375" style="261" bestFit="1" customWidth="1"/>
    <col min="10505" max="10505" width="16.5703125" style="261" customWidth="1"/>
    <col min="10506" max="10752" width="11.42578125" style="261"/>
    <col min="10753" max="10753" width="15.85546875" style="261" bestFit="1" customWidth="1"/>
    <col min="10754" max="10754" width="8.7109375" style="261" customWidth="1"/>
    <col min="10755" max="10755" width="10.85546875" style="261" customWidth="1"/>
    <col min="10756" max="10760" width="9.7109375" style="261" bestFit="1" customWidth="1"/>
    <col min="10761" max="10761" width="16.5703125" style="261" customWidth="1"/>
    <col min="10762" max="11008" width="11.42578125" style="261"/>
    <col min="11009" max="11009" width="15.85546875" style="261" bestFit="1" customWidth="1"/>
    <col min="11010" max="11010" width="8.7109375" style="261" customWidth="1"/>
    <col min="11011" max="11011" width="10.85546875" style="261" customWidth="1"/>
    <col min="11012" max="11016" width="9.7109375" style="261" bestFit="1" customWidth="1"/>
    <col min="11017" max="11017" width="16.5703125" style="261" customWidth="1"/>
    <col min="11018" max="11264" width="11.42578125" style="261"/>
    <col min="11265" max="11265" width="15.85546875" style="261" bestFit="1" customWidth="1"/>
    <col min="11266" max="11266" width="8.7109375" style="261" customWidth="1"/>
    <col min="11267" max="11267" width="10.85546875" style="261" customWidth="1"/>
    <col min="11268" max="11272" width="9.7109375" style="261" bestFit="1" customWidth="1"/>
    <col min="11273" max="11273" width="16.5703125" style="261" customWidth="1"/>
    <col min="11274" max="11520" width="11.42578125" style="261"/>
    <col min="11521" max="11521" width="15.85546875" style="261" bestFit="1" customWidth="1"/>
    <col min="11522" max="11522" width="8.7109375" style="261" customWidth="1"/>
    <col min="11523" max="11523" width="10.85546875" style="261" customWidth="1"/>
    <col min="11524" max="11528" width="9.7109375" style="261" bestFit="1" customWidth="1"/>
    <col min="11529" max="11529" width="16.5703125" style="261" customWidth="1"/>
    <col min="11530" max="11776" width="11.42578125" style="261"/>
    <col min="11777" max="11777" width="15.85546875" style="261" bestFit="1" customWidth="1"/>
    <col min="11778" max="11778" width="8.7109375" style="261" customWidth="1"/>
    <col min="11779" max="11779" width="10.85546875" style="261" customWidth="1"/>
    <col min="11780" max="11784" width="9.7109375" style="261" bestFit="1" customWidth="1"/>
    <col min="11785" max="11785" width="16.5703125" style="261" customWidth="1"/>
    <col min="11786" max="12032" width="11.42578125" style="261"/>
    <col min="12033" max="12033" width="15.85546875" style="261" bestFit="1" customWidth="1"/>
    <col min="12034" max="12034" width="8.7109375" style="261" customWidth="1"/>
    <col min="12035" max="12035" width="10.85546875" style="261" customWidth="1"/>
    <col min="12036" max="12040" width="9.7109375" style="261" bestFit="1" customWidth="1"/>
    <col min="12041" max="12041" width="16.5703125" style="261" customWidth="1"/>
    <col min="12042" max="12288" width="11.42578125" style="261"/>
    <col min="12289" max="12289" width="15.85546875" style="261" bestFit="1" customWidth="1"/>
    <col min="12290" max="12290" width="8.7109375" style="261" customWidth="1"/>
    <col min="12291" max="12291" width="10.85546875" style="261" customWidth="1"/>
    <col min="12292" max="12296" width="9.7109375" style="261" bestFit="1" customWidth="1"/>
    <col min="12297" max="12297" width="16.5703125" style="261" customWidth="1"/>
    <col min="12298" max="12544" width="11.42578125" style="261"/>
    <col min="12545" max="12545" width="15.85546875" style="261" bestFit="1" customWidth="1"/>
    <col min="12546" max="12546" width="8.7109375" style="261" customWidth="1"/>
    <col min="12547" max="12547" width="10.85546875" style="261" customWidth="1"/>
    <col min="12548" max="12552" width="9.7109375" style="261" bestFit="1" customWidth="1"/>
    <col min="12553" max="12553" width="16.5703125" style="261" customWidth="1"/>
    <col min="12554" max="12800" width="11.42578125" style="261"/>
    <col min="12801" max="12801" width="15.85546875" style="261" bestFit="1" customWidth="1"/>
    <col min="12802" max="12802" width="8.7109375" style="261" customWidth="1"/>
    <col min="12803" max="12803" width="10.85546875" style="261" customWidth="1"/>
    <col min="12804" max="12808" width="9.7109375" style="261" bestFit="1" customWidth="1"/>
    <col min="12809" max="12809" width="16.5703125" style="261" customWidth="1"/>
    <col min="12810" max="13056" width="11.42578125" style="261"/>
    <col min="13057" max="13057" width="15.85546875" style="261" bestFit="1" customWidth="1"/>
    <col min="13058" max="13058" width="8.7109375" style="261" customWidth="1"/>
    <col min="13059" max="13059" width="10.85546875" style="261" customWidth="1"/>
    <col min="13060" max="13064" width="9.7109375" style="261" bestFit="1" customWidth="1"/>
    <col min="13065" max="13065" width="16.5703125" style="261" customWidth="1"/>
    <col min="13066" max="13312" width="11.42578125" style="261"/>
    <col min="13313" max="13313" width="15.85546875" style="261" bestFit="1" customWidth="1"/>
    <col min="13314" max="13314" width="8.7109375" style="261" customWidth="1"/>
    <col min="13315" max="13315" width="10.85546875" style="261" customWidth="1"/>
    <col min="13316" max="13320" width="9.7109375" style="261" bestFit="1" customWidth="1"/>
    <col min="13321" max="13321" width="16.5703125" style="261" customWidth="1"/>
    <col min="13322" max="13568" width="11.42578125" style="261"/>
    <col min="13569" max="13569" width="15.85546875" style="261" bestFit="1" customWidth="1"/>
    <col min="13570" max="13570" width="8.7109375" style="261" customWidth="1"/>
    <col min="13571" max="13571" width="10.85546875" style="261" customWidth="1"/>
    <col min="13572" max="13576" width="9.7109375" style="261" bestFit="1" customWidth="1"/>
    <col min="13577" max="13577" width="16.5703125" style="261" customWidth="1"/>
    <col min="13578" max="13824" width="11.42578125" style="261"/>
    <col min="13825" max="13825" width="15.85546875" style="261" bestFit="1" customWidth="1"/>
    <col min="13826" max="13826" width="8.7109375" style="261" customWidth="1"/>
    <col min="13827" max="13827" width="10.85546875" style="261" customWidth="1"/>
    <col min="13828" max="13832" width="9.7109375" style="261" bestFit="1" customWidth="1"/>
    <col min="13833" max="13833" width="16.5703125" style="261" customWidth="1"/>
    <col min="13834" max="14080" width="11.42578125" style="261"/>
    <col min="14081" max="14081" width="15.85546875" style="261" bestFit="1" customWidth="1"/>
    <col min="14082" max="14082" width="8.7109375" style="261" customWidth="1"/>
    <col min="14083" max="14083" width="10.85546875" style="261" customWidth="1"/>
    <col min="14084" max="14088" width="9.7109375" style="261" bestFit="1" customWidth="1"/>
    <col min="14089" max="14089" width="16.5703125" style="261" customWidth="1"/>
    <col min="14090" max="14336" width="11.42578125" style="261"/>
    <col min="14337" max="14337" width="15.85546875" style="261" bestFit="1" customWidth="1"/>
    <col min="14338" max="14338" width="8.7109375" style="261" customWidth="1"/>
    <col min="14339" max="14339" width="10.85546875" style="261" customWidth="1"/>
    <col min="14340" max="14344" width="9.7109375" style="261" bestFit="1" customWidth="1"/>
    <col min="14345" max="14345" width="16.5703125" style="261" customWidth="1"/>
    <col min="14346" max="14592" width="11.42578125" style="261"/>
    <col min="14593" max="14593" width="15.85546875" style="261" bestFit="1" customWidth="1"/>
    <col min="14594" max="14594" width="8.7109375" style="261" customWidth="1"/>
    <col min="14595" max="14595" width="10.85546875" style="261" customWidth="1"/>
    <col min="14596" max="14600" width="9.7109375" style="261" bestFit="1" customWidth="1"/>
    <col min="14601" max="14601" width="16.5703125" style="261" customWidth="1"/>
    <col min="14602" max="14848" width="11.42578125" style="261"/>
    <col min="14849" max="14849" width="15.85546875" style="261" bestFit="1" customWidth="1"/>
    <col min="14850" max="14850" width="8.7109375" style="261" customWidth="1"/>
    <col min="14851" max="14851" width="10.85546875" style="261" customWidth="1"/>
    <col min="14852" max="14856" width="9.7109375" style="261" bestFit="1" customWidth="1"/>
    <col min="14857" max="14857" width="16.5703125" style="261" customWidth="1"/>
    <col min="14858" max="15104" width="11.42578125" style="261"/>
    <col min="15105" max="15105" width="15.85546875" style="261" bestFit="1" customWidth="1"/>
    <col min="15106" max="15106" width="8.7109375" style="261" customWidth="1"/>
    <col min="15107" max="15107" width="10.85546875" style="261" customWidth="1"/>
    <col min="15108" max="15112" width="9.7109375" style="261" bestFit="1" customWidth="1"/>
    <col min="15113" max="15113" width="16.5703125" style="261" customWidth="1"/>
    <col min="15114" max="15360" width="11.42578125" style="261"/>
    <col min="15361" max="15361" width="15.85546875" style="261" bestFit="1" customWidth="1"/>
    <col min="15362" max="15362" width="8.7109375" style="261" customWidth="1"/>
    <col min="15363" max="15363" width="10.85546875" style="261" customWidth="1"/>
    <col min="15364" max="15368" width="9.7109375" style="261" bestFit="1" customWidth="1"/>
    <col min="15369" max="15369" width="16.5703125" style="261" customWidth="1"/>
    <col min="15370" max="15616" width="11.42578125" style="261"/>
    <col min="15617" max="15617" width="15.85546875" style="261" bestFit="1" customWidth="1"/>
    <col min="15618" max="15618" width="8.7109375" style="261" customWidth="1"/>
    <col min="15619" max="15619" width="10.85546875" style="261" customWidth="1"/>
    <col min="15620" max="15624" width="9.7109375" style="261" bestFit="1" customWidth="1"/>
    <col min="15625" max="15625" width="16.5703125" style="261" customWidth="1"/>
    <col min="15626" max="15872" width="11.42578125" style="261"/>
    <col min="15873" max="15873" width="15.85546875" style="261" bestFit="1" customWidth="1"/>
    <col min="15874" max="15874" width="8.7109375" style="261" customWidth="1"/>
    <col min="15875" max="15875" width="10.85546875" style="261" customWidth="1"/>
    <col min="15876" max="15880" width="9.7109375" style="261" bestFit="1" customWidth="1"/>
    <col min="15881" max="15881" width="16.5703125" style="261" customWidth="1"/>
    <col min="15882" max="16128" width="11.42578125" style="261"/>
    <col min="16129" max="16129" width="15.85546875" style="261" bestFit="1" customWidth="1"/>
    <col min="16130" max="16130" width="8.7109375" style="261" customWidth="1"/>
    <col min="16131" max="16131" width="10.85546875" style="261" customWidth="1"/>
    <col min="16132" max="16136" width="9.7109375" style="261" bestFit="1" customWidth="1"/>
    <col min="16137" max="16137" width="16.5703125" style="261" customWidth="1"/>
    <col min="16138" max="16384" width="11.42578125" style="261"/>
  </cols>
  <sheetData>
    <row r="7" spans="2:9" ht="28.5" customHeight="1">
      <c r="B7" s="258" t="s">
        <v>197</v>
      </c>
      <c r="C7" s="259"/>
      <c r="D7" s="259"/>
      <c r="E7" s="259"/>
      <c r="F7" s="259"/>
      <c r="G7" s="259"/>
      <c r="H7" s="259"/>
      <c r="I7" s="260"/>
    </row>
    <row r="8" spans="2:9" ht="12.75">
      <c r="B8" s="262" t="str">
        <f>actualizaciones!A2</f>
        <v xml:space="preserve">acumulado julio 2010 </v>
      </c>
      <c r="C8" s="263"/>
      <c r="D8" s="263"/>
      <c r="E8" s="263"/>
      <c r="F8" s="263"/>
      <c r="G8" s="263"/>
      <c r="H8" s="263"/>
      <c r="I8" s="264"/>
    </row>
    <row r="9" spans="2:9" ht="13.5" customHeight="1">
      <c r="B9" s="265" t="s">
        <v>158</v>
      </c>
      <c r="C9" s="266" t="s">
        <v>93</v>
      </c>
      <c r="D9" s="266" t="s">
        <v>188</v>
      </c>
      <c r="E9" s="266"/>
      <c r="F9" s="266"/>
      <c r="G9" s="266"/>
      <c r="H9" s="266"/>
      <c r="I9" s="267" t="s">
        <v>189</v>
      </c>
    </row>
    <row r="10" spans="2:9" ht="22.5" customHeight="1">
      <c r="B10" s="265"/>
      <c r="C10" s="268"/>
      <c r="D10" s="269" t="s">
        <v>190</v>
      </c>
      <c r="E10" s="269" t="s">
        <v>191</v>
      </c>
      <c r="F10" s="269" t="s">
        <v>192</v>
      </c>
      <c r="G10" s="269" t="s">
        <v>193</v>
      </c>
      <c r="H10" s="269" t="s">
        <v>194</v>
      </c>
      <c r="I10" s="270"/>
    </row>
    <row r="11" spans="2:9" ht="12.75">
      <c r="B11" s="271" t="s">
        <v>159</v>
      </c>
      <c r="C11" s="291">
        <f>'Nacionalidad-Alojamiento(datos)'!C11/'Nacionalidad-Alojamiento(datos)'!$C$33</f>
        <v>0.222255827474269</v>
      </c>
      <c r="D11" s="291">
        <f>'Nacionalidad-Alojamiento(datos)'!D11/'Nacionalidad-Alojamiento(datos)'!$D$33</f>
        <v>0.2485907194743861</v>
      </c>
      <c r="E11" s="291">
        <f>'Nacionalidad-Alojamiento(datos)'!E11/'Nacionalidad-Alojamiento(datos)'!$E$33</f>
        <v>0.206559213928633</v>
      </c>
      <c r="F11" s="291">
        <f>'Nacionalidad-Alojamiento(datos)'!F11/'Nacionalidad-Alojamiento(datos)'!$F$33</f>
        <v>0.23034448395352525</v>
      </c>
      <c r="G11" s="291">
        <f>'Nacionalidad-Alojamiento(datos)'!G11/'Nacionalidad-Alojamiento(datos)'!$G$33</f>
        <v>0.376213324785383</v>
      </c>
      <c r="H11" s="291">
        <f>'Nacionalidad-Alojamiento(datos)'!H11/'Nacionalidad-Alojamiento(datos)'!$H$33</f>
        <v>0.16988339364696423</v>
      </c>
      <c r="I11" s="291">
        <f>'Nacionalidad-Alojamiento(datos)'!I11/'Nacionalidad-Alojamiento(datos)'!$I$33</f>
        <v>0.17155368244858918</v>
      </c>
    </row>
    <row r="12" spans="2:9" ht="12.75">
      <c r="B12" s="273" t="s">
        <v>161</v>
      </c>
      <c r="C12" s="292">
        <f>'Nacionalidad-Alojamiento(datos)'!C12/'Nacionalidad-Alojamiento(datos)'!$C$33</f>
        <v>3.4631234015508598E-2</v>
      </c>
      <c r="D12" s="292">
        <f>'Nacionalidad-Alojamiento(datos)'!D12/'Nacionalidad-Alojamiento(datos)'!$D$33</f>
        <v>3.4824094155929845E-2</v>
      </c>
      <c r="E12" s="292">
        <f>'Nacionalidad-Alojamiento(datos)'!E12/'Nacionalidad-Alojamiento(datos)'!$E$33</f>
        <v>2.7861575590415445E-2</v>
      </c>
      <c r="F12" s="292">
        <f>'Nacionalidad-Alojamiento(datos)'!F12/'Nacionalidad-Alojamiento(datos)'!$F$33</f>
        <v>3.6869521889792312E-2</v>
      </c>
      <c r="G12" s="292">
        <f>'Nacionalidad-Alojamiento(datos)'!G12/'Nacionalidad-Alojamiento(datos)'!$G$33</f>
        <v>3.4569113183543859E-2</v>
      </c>
      <c r="H12" s="292">
        <f>'Nacionalidad-Alojamiento(datos)'!H12/'Nacionalidad-Alojamiento(datos)'!$H$33</f>
        <v>1.156011258544431E-2</v>
      </c>
      <c r="I12" s="292">
        <f>'Nacionalidad-Alojamiento(datos)'!I12/'Nacionalidad-Alojamiento(datos)'!$I$33</f>
        <v>3.425992348158776E-2</v>
      </c>
    </row>
    <row r="13" spans="2:9" ht="12.75">
      <c r="B13" s="273" t="s">
        <v>162</v>
      </c>
      <c r="C13" s="292">
        <f>'Nacionalidad-Alojamiento(datos)'!C13/'Nacionalidad-Alojamiento(datos)'!$C$33</f>
        <v>3.8996283781367408E-2</v>
      </c>
      <c r="D13" s="292">
        <f>'Nacionalidad-Alojamiento(datos)'!D13/'Nacionalidad-Alojamiento(datos)'!$D$33</f>
        <v>5.1080306090606917E-2</v>
      </c>
      <c r="E13" s="292">
        <f>'Nacionalidad-Alojamiento(datos)'!E13/'Nacionalidad-Alojamiento(datos)'!$E$33</f>
        <v>7.0106447164282021E-2</v>
      </c>
      <c r="F13" s="292">
        <f>'Nacionalidad-Alojamiento(datos)'!F13/'Nacionalidad-Alojamiento(datos)'!$F$33</f>
        <v>5.6492197585668015E-2</v>
      </c>
      <c r="G13" s="292">
        <f>'Nacionalidad-Alojamiento(datos)'!G13/'Nacionalidad-Alojamiento(datos)'!$G$33</f>
        <v>1.3773552775245669E-2</v>
      </c>
      <c r="H13" s="292">
        <f>'Nacionalidad-Alojamiento(datos)'!H13/'Nacionalidad-Alojamiento(datos)'!$H$33</f>
        <v>7.7402492963409729E-3</v>
      </c>
      <c r="I13" s="292">
        <f>'Nacionalidad-Alojamiento(datos)'!I13/'Nacionalidad-Alojamiento(datos)'!$I$33</f>
        <v>1.5731109516977523E-2</v>
      </c>
    </row>
    <row r="14" spans="2:9" ht="12.75">
      <c r="B14" s="273" t="s">
        <v>163</v>
      </c>
      <c r="C14" s="292">
        <f>'Nacionalidad-Alojamiento(datos)'!C14/'Nacionalidad-Alojamiento(datos)'!$C$33</f>
        <v>0.13530836849112532</v>
      </c>
      <c r="D14" s="292">
        <f>'Nacionalidad-Alojamiento(datos)'!D14/'Nacionalidad-Alojamiento(datos)'!$D$33</f>
        <v>0.17163181566253649</v>
      </c>
      <c r="E14" s="292">
        <f>'Nacionalidad-Alojamiento(datos)'!E14/'Nacionalidad-Alojamiento(datos)'!$E$33</f>
        <v>0.16058653680399931</v>
      </c>
      <c r="F14" s="292">
        <f>'Nacionalidad-Alojamiento(datos)'!F14/'Nacionalidad-Alojamiento(datos)'!$F$33</f>
        <v>0.16631259484066768</v>
      </c>
      <c r="G14" s="292">
        <f>'Nacionalidad-Alojamiento(datos)'!G14/'Nacionalidad-Alojamiento(datos)'!$G$33</f>
        <v>0.22157889991886126</v>
      </c>
      <c r="H14" s="292">
        <f>'Nacionalidad-Alojamiento(datos)'!H14/'Nacionalidad-Alojamiento(datos)'!$H$33</f>
        <v>9.5496582227583438E-3</v>
      </c>
      <c r="I14" s="292">
        <f>'Nacionalidad-Alojamiento(datos)'!I14/'Nacionalidad-Alojamiento(datos)'!$I$33</f>
        <v>6.5375418460066947E-2</v>
      </c>
    </row>
    <row r="15" spans="2:9" ht="12.75">
      <c r="B15" s="275" t="s">
        <v>164</v>
      </c>
      <c r="C15" s="292">
        <f>'Nacionalidad-Alojamiento(datos)'!C15/'Nacionalidad-Alojamiento(datos)'!$C$33</f>
        <v>2.5276826102016689E-2</v>
      </c>
      <c r="D15" s="292">
        <f>'Nacionalidad-Alojamiento(datos)'!D15/'Nacionalidad-Alojamiento(datos)'!$D$33</f>
        <v>2.2786020682385198E-2</v>
      </c>
      <c r="E15" s="292">
        <f>'Nacionalidad-Alojamiento(datos)'!E15/'Nacionalidad-Alojamiento(datos)'!$E$33</f>
        <v>1.6225650749870712E-2</v>
      </c>
      <c r="F15" s="292">
        <f>'Nacionalidad-Alojamiento(datos)'!F15/'Nacionalidad-Alojamiento(datos)'!$F$33</f>
        <v>2.4161438633841414E-2</v>
      </c>
      <c r="G15" s="292">
        <f>'Nacionalidad-Alojamiento(datos)'!G15/'Nacionalidad-Alojamiento(datos)'!$G$33</f>
        <v>2.2778952007933565E-2</v>
      </c>
      <c r="H15" s="292">
        <f>'Nacionalidad-Alojamiento(datos)'!H15/'Nacionalidad-Alojamiento(datos)'!$H$33</f>
        <v>2.3019702452754323E-2</v>
      </c>
      <c r="I15" s="292">
        <f>'Nacionalidad-Alojamiento(datos)'!I15/'Nacionalidad-Alojamiento(datos)'!$I$33</f>
        <v>3.0072333811573409E-2</v>
      </c>
    </row>
    <row r="16" spans="2:9" ht="12.75">
      <c r="B16" s="275" t="s">
        <v>165</v>
      </c>
      <c r="C16" s="292">
        <f>'Nacionalidad-Alojamiento(datos)'!C16/'Nacionalidad-Alojamiento(datos)'!$C$33</f>
        <v>0.33226386889319626</v>
      </c>
      <c r="D16" s="292">
        <f>'Nacionalidad-Alojamiento(datos)'!D16/'Nacionalidad-Alojamiento(datos)'!$D$33</f>
        <v>0.28070259872726172</v>
      </c>
      <c r="E16" s="292">
        <f>'Nacionalidad-Alojamiento(datos)'!E16/'Nacionalidad-Alojamiento(datos)'!$E$33</f>
        <v>0.33353085674883642</v>
      </c>
      <c r="F16" s="292">
        <f>'Nacionalidad-Alojamiento(datos)'!F16/'Nacionalidad-Alojamiento(datos)'!$F$33</f>
        <v>0.29640341539646231</v>
      </c>
      <c r="G16" s="292">
        <f>'Nacionalidad-Alojamiento(datos)'!G16/'Nacionalidad-Alojamiento(datos)'!$G$33</f>
        <v>0.15202997125083895</v>
      </c>
      <c r="H16" s="292">
        <f>'Nacionalidad-Alojamiento(datos)'!H16/'Nacionalidad-Alojamiento(datos)'!$H$33</f>
        <v>0.38218737434660233</v>
      </c>
      <c r="I16" s="292">
        <f>'Nacionalidad-Alojamiento(datos)'!I16/'Nacionalidad-Alojamiento(datos)'!$I$33</f>
        <v>0.43153395504543279</v>
      </c>
    </row>
    <row r="17" spans="2:11" ht="12.75">
      <c r="B17" s="275" t="s">
        <v>166</v>
      </c>
      <c r="C17" s="292">
        <f>'Nacionalidad-Alojamiento(datos)'!C17/'Nacionalidad-Alojamiento(datos)'!$C$33</f>
        <v>1.6004160693503411E-2</v>
      </c>
      <c r="D17" s="292">
        <f>'Nacionalidad-Alojamiento(datos)'!D17/'Nacionalidad-Alojamiento(datos)'!$D$33</f>
        <v>1.0244937690472161E-2</v>
      </c>
      <c r="E17" s="292">
        <f>'Nacionalidad-Alojamiento(datos)'!E17/'Nacionalidad-Alojamiento(datos)'!$E$33</f>
        <v>2.2356059300120669E-2</v>
      </c>
      <c r="F17" s="292">
        <f>'Nacionalidad-Alojamiento(datos)'!F17/'Nacionalidad-Alojamiento(datos)'!$F$33</f>
        <v>9.2111521300930858E-3</v>
      </c>
      <c r="G17" s="292">
        <f>'Nacionalidad-Alojamiento(datos)'!G17/'Nacionalidad-Alojamiento(datos)'!$G$33</f>
        <v>4.3273998537499128E-3</v>
      </c>
      <c r="H17" s="292">
        <f>'Nacionalidad-Alojamiento(datos)'!H17/'Nacionalidad-Alojamiento(datos)'!$H$33</f>
        <v>2.5130679533574589E-3</v>
      </c>
      <c r="I17" s="292">
        <f>'Nacionalidad-Alojamiento(datos)'!I17/'Nacionalidad-Alojamiento(datos)'!$I$33</f>
        <v>2.7092300334768053E-2</v>
      </c>
    </row>
    <row r="18" spans="2:11" ht="12.75">
      <c r="B18" s="275" t="s">
        <v>167</v>
      </c>
      <c r="C18" s="292">
        <f>'Nacionalidad-Alojamiento(datos)'!C18/'Nacionalidad-Alojamiento(datos)'!$C$33</f>
        <v>2.4134474594940343E-2</v>
      </c>
      <c r="D18" s="292">
        <f>'Nacionalidad-Alojamiento(datos)'!D18/'Nacionalidad-Alojamiento(datos)'!$D$33</f>
        <v>2.5785447810433723E-2</v>
      </c>
      <c r="E18" s="292">
        <f>'Nacionalidad-Alojamiento(datos)'!E18/'Nacionalidad-Alojamiento(datos)'!$E$33</f>
        <v>1.4577228064126875E-2</v>
      </c>
      <c r="F18" s="292">
        <f>'Nacionalidad-Alojamiento(datos)'!F18/'Nacionalidad-Alojamiento(datos)'!$F$33</f>
        <v>3.1981971779947001E-2</v>
      </c>
      <c r="G18" s="292">
        <f>'Nacionalidad-Alojamiento(datos)'!G18/'Nacionalidad-Alojamiento(datos)'!$G$33</f>
        <v>1.0698294082881728E-2</v>
      </c>
      <c r="H18" s="292">
        <f>'Nacionalidad-Alojamiento(datos)'!H18/'Nacionalidad-Alojamiento(datos)'!$H$33</f>
        <v>6.7350221149979897E-3</v>
      </c>
      <c r="I18" s="292">
        <f>'Nacionalidad-Alojamiento(datos)'!I18/'Nacionalidad-Alojamiento(datos)'!$I$33</f>
        <v>2.0955882352941175E-2</v>
      </c>
    </row>
    <row r="19" spans="2:11" ht="12.75">
      <c r="B19" s="273" t="s">
        <v>168</v>
      </c>
      <c r="C19" s="292">
        <f>'Nacionalidad-Alojamiento(datos)'!C19/'Nacionalidad-Alojamiento(datos)'!$C$33</f>
        <v>6.4963834050453514E-2</v>
      </c>
      <c r="D19" s="292">
        <f>'Nacionalidad-Alojamiento(datos)'!D19/'Nacionalidad-Alojamiento(datos)'!$D$33</f>
        <v>5.6771765641034401E-2</v>
      </c>
      <c r="E19" s="292">
        <f>'Nacionalidad-Alojamiento(datos)'!E19/'Nacionalidad-Alojamiento(datos)'!$E$33</f>
        <v>2.2991725564557836E-2</v>
      </c>
      <c r="F19" s="292">
        <f>'Nacionalidad-Alojamiento(datos)'!F19/'Nacionalidad-Alojamiento(datos)'!$F$33</f>
        <v>5.6150204969084773E-2</v>
      </c>
      <c r="G19" s="292">
        <f>'Nacionalidad-Alojamiento(datos)'!G19/'Nacionalidad-Alojamiento(datos)'!$G$33</f>
        <v>6.62933616484188E-2</v>
      </c>
      <c r="H19" s="292">
        <f>'Nacionalidad-Alojamiento(datos)'!H19/'Nacionalidad-Alojamiento(datos)'!$H$33</f>
        <v>0.30398069963811819</v>
      </c>
      <c r="I19" s="292">
        <f>'Nacionalidad-Alojamiento(datos)'!I19/'Nacionalidad-Alojamiento(datos)'!$I$33</f>
        <v>8.0735891917742705E-2</v>
      </c>
    </row>
    <row r="20" spans="2:11" ht="12.75">
      <c r="B20" s="276" t="s">
        <v>169</v>
      </c>
      <c r="C20" s="292">
        <f>'Nacionalidad-Alojamiento(datos)'!C20/'Nacionalidad-Alojamiento(datos)'!$C$33</f>
        <v>2.2094999095723537E-2</v>
      </c>
      <c r="D20" s="292">
        <f>'Nacionalidad-Alojamiento(datos)'!D20/'Nacionalidad-Alojamiento(datos)'!$D$33</f>
        <v>1.7242048490738571E-2</v>
      </c>
      <c r="E20" s="292">
        <f>'Nacionalidad-Alojamiento(datos)'!E20/'Nacionalidad-Alojamiento(datos)'!$E$33</f>
        <v>7.1862609894845714E-3</v>
      </c>
      <c r="F20" s="292">
        <f>'Nacionalidad-Alojamiento(datos)'!F20/'Nacionalidad-Alojamiento(datos)'!$F$33</f>
        <v>1.9316920707539691E-2</v>
      </c>
      <c r="G20" s="292">
        <f>'Nacionalidad-Alojamiento(datos)'!G20/'Nacionalidad-Alojamiento(datos)'!$G$33</f>
        <v>1.5626721694096905E-2</v>
      </c>
      <c r="H20" s="292">
        <f>'Nacionalidad-Alojamiento(datos)'!H20/'Nacionalidad-Alojamiento(datos)'!$H$33</f>
        <v>3.5182951347004422E-2</v>
      </c>
      <c r="I20" s="292">
        <f>'Nacionalidad-Alojamiento(datos)'!I20/'Nacionalidad-Alojamiento(datos)'!$I$33</f>
        <v>3.1438307030129127E-2</v>
      </c>
    </row>
    <row r="21" spans="2:11" ht="12.75">
      <c r="B21" s="276" t="s">
        <v>170</v>
      </c>
      <c r="C21" s="292">
        <f>'Nacionalidad-Alojamiento(datos)'!C21/'Nacionalidad-Alojamiento(datos)'!$C$33</f>
        <v>1.2132631301453076E-2</v>
      </c>
      <c r="D21" s="292">
        <f>'Nacionalidad-Alojamiento(datos)'!D21/'Nacionalidad-Alojamiento(datos)'!$D$33</f>
        <v>1.1275796703424656E-2</v>
      </c>
      <c r="E21" s="292">
        <f>'Nacionalidad-Alojamiento(datos)'!E21/'Nacionalidad-Alojamiento(datos)'!$E$33</f>
        <v>5.7640923978624376E-3</v>
      </c>
      <c r="F21" s="292">
        <f>'Nacionalidad-Alojamiento(datos)'!F21/'Nacionalidad-Alojamiento(datos)'!$F$33</f>
        <v>1.0252983942200982E-2</v>
      </c>
      <c r="G21" s="292">
        <f>'Nacionalidad-Alojamiento(datos)'!G21/'Nacionalidad-Alojamiento(datos)'!$G$33</f>
        <v>1.5185968005289045E-2</v>
      </c>
      <c r="H21" s="292">
        <f>'Nacionalidad-Alojamiento(datos)'!H21/'Nacionalidad-Alojamiento(datos)'!$H$33</f>
        <v>6.8858061921994368E-2</v>
      </c>
      <c r="I21" s="292">
        <f>'Nacionalidad-Alojamiento(datos)'!I21/'Nacionalidad-Alojamiento(datos)'!$I$33</f>
        <v>1.3782281205164993E-2</v>
      </c>
    </row>
    <row r="22" spans="2:11" ht="12.75">
      <c r="B22" s="276" t="s">
        <v>171</v>
      </c>
      <c r="C22" s="292">
        <f>'Nacionalidad-Alojamiento(datos)'!C22/'Nacionalidad-Alojamiento(datos)'!$C$33</f>
        <v>1.8190772701681748E-2</v>
      </c>
      <c r="D22" s="292">
        <f>'Nacionalidad-Alojamiento(datos)'!D22/'Nacionalidad-Alojamiento(datos)'!$D$33</f>
        <v>1.7939120323292292E-2</v>
      </c>
      <c r="E22" s="292">
        <f>'Nacionalidad-Alojamiento(datos)'!E22/'Nacionalidad-Alojamiento(datos)'!$E$33</f>
        <v>3.0490432684019998E-3</v>
      </c>
      <c r="F22" s="292">
        <f>'Nacionalidad-Alojamiento(datos)'!F22/'Nacionalidad-Alojamiento(datos)'!$F$33</f>
        <v>1.5638801440445722E-2</v>
      </c>
      <c r="G22" s="292">
        <f>'Nacionalidad-Alojamiento(datos)'!G22/'Nacionalidad-Alojamiento(datos)'!$G$33</f>
        <v>2.4311572789469993E-2</v>
      </c>
      <c r="H22" s="292">
        <f>'Nacionalidad-Alojamiento(datos)'!H22/'Nacionalidad-Alojamiento(datos)'!$H$33</f>
        <v>0.19501407318053879</v>
      </c>
      <c r="I22" s="292">
        <f>'Nacionalidad-Alojamiento(datos)'!I22/'Nacionalidad-Alojamiento(datos)'!$I$33</f>
        <v>1.8675274988043999E-2</v>
      </c>
    </row>
    <row r="23" spans="2:11" ht="12.75">
      <c r="B23" s="276" t="s">
        <v>172</v>
      </c>
      <c r="C23" s="292">
        <f>'Nacionalidad-Alojamiento(datos)'!C23/'Nacionalidad-Alojamiento(datos)'!$C$33</f>
        <v>1.2545430951595153E-2</v>
      </c>
      <c r="D23" s="292">
        <f>'Nacionalidad-Alojamiento(datos)'!D23/'Nacionalidad-Alojamiento(datos)'!$D$33</f>
        <v>1.0314800123578882E-2</v>
      </c>
      <c r="E23" s="292">
        <f>'Nacionalidad-Alojamiento(datos)'!E23/'Nacionalidad-Alojamiento(datos)'!$E$33</f>
        <v>6.9923289088088258E-3</v>
      </c>
      <c r="F23" s="292">
        <f>'Nacionalidad-Alojamiento(datos)'!F23/'Nacionalidad-Alojamiento(datos)'!$F$33</f>
        <v>1.0941498878898377E-2</v>
      </c>
      <c r="G23" s="292">
        <f>'Nacionalidad-Alojamiento(datos)'!G23/'Nacionalidad-Alojamiento(datos)'!$G$33</f>
        <v>1.1169099159562853E-2</v>
      </c>
      <c r="H23" s="292">
        <f>'Nacionalidad-Alojamiento(datos)'!H23/'Nacionalidad-Alojamiento(datos)'!$H$33</f>
        <v>4.9256131885806196E-3</v>
      </c>
      <c r="I23" s="292">
        <f>'Nacionalidad-Alojamiento(datos)'!I23/'Nacionalidad-Alojamiento(datos)'!$I$33</f>
        <v>1.6840028694404593E-2</v>
      </c>
    </row>
    <row r="24" spans="2:11" ht="12.75">
      <c r="B24" s="273" t="s">
        <v>173</v>
      </c>
      <c r="C24" s="292">
        <f>'Nacionalidad-Alojamiento(datos)'!C24/'Nacionalidad-Alojamiento(datos)'!$C$33</f>
        <v>7.4978312691647859E-3</v>
      </c>
      <c r="D24" s="292">
        <f>'Nacionalidad-Alojamiento(datos)'!D24/'Nacionalidad-Alojamiento(datos)'!$D$33</f>
        <v>8.7467766249613808E-3</v>
      </c>
      <c r="E24" s="292">
        <f>'Nacionalidad-Alojamiento(datos)'!E24/'Nacionalidad-Alojamiento(datos)'!$E$33</f>
        <v>1.6591966902258233E-2</v>
      </c>
      <c r="F24" s="292">
        <f>'Nacionalidad-Alojamiento(datos)'!F24/'Nacionalidad-Alojamiento(datos)'!$F$33</f>
        <v>7.6053722283876517E-3</v>
      </c>
      <c r="G24" s="292">
        <f>'Nacionalidad-Alojamiento(datos)'!G24/'Nacionalidad-Alojamiento(datos)'!$G$33</f>
        <v>7.2824529946208015E-3</v>
      </c>
      <c r="H24" s="292">
        <f>'Nacionalidad-Alojamiento(datos)'!H24/'Nacionalidad-Alojamiento(datos)'!$H$33</f>
        <v>9.0470446320868516E-4</v>
      </c>
      <c r="I24" s="292">
        <f>'Nacionalidad-Alojamiento(datos)'!I24/'Nacionalidad-Alojamiento(datos)'!$I$33</f>
        <v>5.0932568149210907E-3</v>
      </c>
    </row>
    <row r="25" spans="2:11" ht="12.75">
      <c r="B25" s="273" t="s">
        <v>174</v>
      </c>
      <c r="C25" s="292">
        <f>'Nacionalidad-Alojamiento(datos)'!C25/'Nacionalidad-Alojamiento(datos)'!$C$33</f>
        <v>8.2059257185421626E-3</v>
      </c>
      <c r="D25" s="292">
        <f>'Nacionalidad-Alojamiento(datos)'!D25/'Nacionalidad-Alojamiento(datos)'!$D$33</f>
        <v>8.7467766249613808E-3</v>
      </c>
      <c r="E25" s="292">
        <f>'Nacionalidad-Alojamiento(datos)'!E25/'Nacionalidad-Alojamiento(datos)'!$E$33</f>
        <v>1.1011032580589554E-2</v>
      </c>
      <c r="F25" s="292">
        <f>'Nacionalidad-Alojamiento(datos)'!F25/'Nacionalidad-Alojamiento(datos)'!$F$33</f>
        <v>9.3311892736620394E-3</v>
      </c>
      <c r="G25" s="292">
        <f>'Nacionalidad-Alojamiento(datos)'!G25/'Nacionalidad-Alojamiento(datos)'!$G$33</f>
        <v>4.848290576886476E-3</v>
      </c>
      <c r="H25" s="292">
        <f>'Nacionalidad-Alojamiento(datos)'!H25/'Nacionalidad-Alojamiento(datos)'!$H$33</f>
        <v>8.0418174507438679E-4</v>
      </c>
      <c r="I25" s="292">
        <f>'Nacionalidad-Alojamiento(datos)'!I25/'Nacionalidad-Alojamiento(datos)'!$I$33</f>
        <v>7.1646341463414637E-3</v>
      </c>
    </row>
    <row r="26" spans="2:11" ht="12.75">
      <c r="B26" s="273" t="s">
        <v>175</v>
      </c>
      <c r="C26" s="292">
        <f>'Nacionalidad-Alojamiento(datos)'!C26/'Nacionalidad-Alojamiento(datos)'!$C$33</f>
        <v>2.8232839438306376E-2</v>
      </c>
      <c r="D26" s="292">
        <f>'Nacionalidad-Alojamiento(datos)'!D26/'Nacionalidad-Alojamiento(datos)'!$D$33</f>
        <v>1.7884782875320398E-2</v>
      </c>
      <c r="E26" s="292">
        <f>'Nacionalidad-Alojamiento(datos)'!E26/'Nacionalidad-Alojamiento(datos)'!$E$33</f>
        <v>3.8517066023099462E-2</v>
      </c>
      <c r="F26" s="292">
        <f>'Nacionalidad-Alojamiento(datos)'!F26/'Nacionalidad-Alojamiento(datos)'!$F$33</f>
        <v>1.297760061603968E-2</v>
      </c>
      <c r="G26" s="292">
        <f>'Nacionalidad-Alojamiento(datos)'!G26/'Nacionalidad-Alojamiento(datos)'!$G$33</f>
        <v>1.6778691562571998E-2</v>
      </c>
      <c r="H26" s="292">
        <f>'Nacionalidad-Alojamiento(datos)'!H26/'Nacionalidad-Alojamiento(datos)'!$H$33</f>
        <v>5.4282267792521106E-2</v>
      </c>
      <c r="I26" s="292">
        <f>'Nacionalidad-Alojamiento(datos)'!I26/'Nacionalidad-Alojamiento(datos)'!$I$33</f>
        <v>4.8155786704925874E-2</v>
      </c>
    </row>
    <row r="27" spans="2:11" ht="12.75">
      <c r="B27" s="277" t="s">
        <v>176</v>
      </c>
      <c r="C27" s="292">
        <f>'Nacionalidad-Alojamiento(datos)'!C27/'Nacionalidad-Alojamiento(datos)'!$C$33</f>
        <v>2.734695504060048E-2</v>
      </c>
      <c r="D27" s="292">
        <f>'Nacionalidad-Alojamiento(datos)'!D27/'Nacionalidad-Alojamiento(datos)'!$D$33</f>
        <v>2.1186947213498043E-2</v>
      </c>
      <c r="E27" s="292">
        <f>'Nacionalidad-Alojamiento(datos)'!E27/'Nacionalidad-Alojamiento(datos)'!$E$33</f>
        <v>1.4706516117910705E-2</v>
      </c>
      <c r="F27" s="292">
        <f>'Nacionalidad-Alojamiento(datos)'!F27/'Nacionalidad-Alojamiento(datos)'!$F$33</f>
        <v>2.2720992911013975E-2</v>
      </c>
      <c r="G27" s="292">
        <f>'Nacionalidad-Alojamiento(datos)'!G27/'Nacionalidad-Alojamiento(datos)'!$G$33</f>
        <v>2.1997615923228721E-2</v>
      </c>
      <c r="H27" s="292">
        <f>'Nacionalidad-Alojamiento(datos)'!H27/'Nacionalidad-Alojamiento(datos)'!$H$33</f>
        <v>5.4282267792521112E-3</v>
      </c>
      <c r="I27" s="292">
        <f>'Nacionalidad-Alojamiento(datos)'!I27/'Nacionalidad-Alojamiento(datos)'!$I$33</f>
        <v>3.9206719273075084E-2</v>
      </c>
    </row>
    <row r="28" spans="2:11" ht="12.75">
      <c r="B28" s="277" t="s">
        <v>177</v>
      </c>
      <c r="C28" s="292">
        <f>'Nacionalidad-Alojamiento(datos)'!C28/'Nacionalidad-Alojamiento(datos)'!$C$33</f>
        <v>2.426934972815508E-2</v>
      </c>
      <c r="D28" s="292">
        <f>'Nacionalidad-Alojamiento(datos)'!D28/'Nacionalidad-Alojamiento(datos)'!$D$33</f>
        <v>2.8036570654983599E-2</v>
      </c>
      <c r="E28" s="292">
        <f>'Nacionalidad-Alojamiento(datos)'!E28/'Nacionalidad-Alojamiento(datos)'!$E$33</f>
        <v>1.7658593345974832E-2</v>
      </c>
      <c r="F28" s="292">
        <f>'Nacionalidad-Alojamiento(datos)'!F28/'Nacionalidad-Alojamiento(datos)'!$F$33</f>
        <v>2.8233642108124023E-2</v>
      </c>
      <c r="G28" s="292">
        <f>'Nacionalidad-Alojamiento(datos)'!G28/'Nacionalidad-Alojamiento(datos)'!$G$33</f>
        <v>3.9587694958378827E-2</v>
      </c>
      <c r="H28" s="292">
        <f>'Nacionalidad-Alojamiento(datos)'!H28/'Nacionalidad-Alojamiento(datos)'!$H$33</f>
        <v>2.010454362685967E-4</v>
      </c>
      <c r="I28" s="292">
        <f>'Nacionalidad-Alojamiento(datos)'!I28/'Nacionalidad-Alojamiento(datos)'!$I$33</f>
        <v>1.7016379722620757E-2</v>
      </c>
    </row>
    <row r="29" spans="2:11" ht="12.75">
      <c r="B29" s="277" t="s">
        <v>178</v>
      </c>
      <c r="C29" s="292">
        <f>'Nacionalidad-Alojamiento(datos)'!C29/'Nacionalidad-Alojamiento(datos)'!$C$33</f>
        <v>1.9618201194871068E-3</v>
      </c>
      <c r="D29" s="292">
        <f>'Nacionalidad-Alojamiento(datos)'!D29/'Nacionalidad-Alojamiento(datos)'!$D$33</f>
        <v>1.8738657057735867E-3</v>
      </c>
      <c r="E29" s="292">
        <f>'Nacionalidad-Alojamiento(datos)'!E29/'Nacionalidad-Alojamiento(datos)'!$E$33</f>
        <v>6.4751766936735049E-3</v>
      </c>
      <c r="F29" s="292">
        <f>'Nacionalidad-Alojamiento(datos)'!F29/'Nacionalidad-Alojamiento(datos)'!$F$33</f>
        <v>1.2592575815912849E-3</v>
      </c>
      <c r="G29" s="292">
        <f>'Nacionalidad-Alojamiento(datos)'!G29/'Nacionalidad-Alojamiento(datos)'!$G$33</f>
        <v>4.6078794739003696E-4</v>
      </c>
      <c r="H29" s="292">
        <f>'Nacionalidad-Alojamiento(datos)'!H29/'Nacionalidad-Alojamiento(datos)'!$H$33</f>
        <v>4.020908725371934E-4</v>
      </c>
      <c r="I29" s="292">
        <f>'Nacionalidad-Alojamiento(datos)'!I29/'Nacionalidad-Alojamiento(datos)'!$I$33</f>
        <v>2.1311573409851744E-3</v>
      </c>
    </row>
    <row r="30" spans="2:11" ht="12.75">
      <c r="B30" s="277" t="s">
        <v>179</v>
      </c>
      <c r="C30" s="292">
        <f>'Nacionalidad-Alojamiento(datos)'!C30/'Nacionalidad-Alojamiento(datos)'!$C$33</f>
        <v>1.7186361671756841E-3</v>
      </c>
      <c r="D30" s="292">
        <f>'Nacionalidad-Alojamiento(datos)'!D30/'Nacionalidad-Alojamiento(datos)'!$D$33</f>
        <v>1.849025729557864E-3</v>
      </c>
      <c r="E30" s="292">
        <f>'Nacionalidad-Alojamiento(datos)'!E30/'Nacionalidad-Alojamiento(datos)'!$E$33</f>
        <v>2.9951732459920703E-3</v>
      </c>
      <c r="F30" s="292">
        <f>'Nacionalidad-Alojamiento(datos)'!F30/'Nacionalidad-Alojamiento(datos)'!$F$33</f>
        <v>1.7394061558670985E-3</v>
      </c>
      <c r="G30" s="292">
        <f>'Nacionalidad-Alojamiento(datos)'!G30/'Nacionalidad-Alojamiento(datos)'!$G$33</f>
        <v>1.3623295835879354E-3</v>
      </c>
      <c r="H30" s="292">
        <f>'Nacionalidad-Alojamiento(datos)'!H30/'Nacionalidad-Alojamiento(datos)'!$H$33</f>
        <v>9.0470446320868516E-4</v>
      </c>
      <c r="I30" s="292">
        <f>'Nacionalidad-Alojamiento(datos)'!I30/'Nacionalidad-Alojamiento(datos)'!$I$33</f>
        <v>1.4675992348158777E-3</v>
      </c>
      <c r="J30" s="278"/>
      <c r="K30" s="278"/>
    </row>
    <row r="31" spans="2:11" ht="12.75">
      <c r="B31" s="277" t="s">
        <v>180</v>
      </c>
      <c r="C31" s="292">
        <f>'Nacionalidad-Alojamiento(datos)'!C31/'Nacionalidad-Alojamiento(datos)'!$C$33</f>
        <v>6.9317644221877769E-3</v>
      </c>
      <c r="D31" s="292">
        <f>'Nacionalidad-Alojamiento(datos)'!D31/'Nacionalidad-Alojamiento(datos)'!$D$33</f>
        <v>9.2575486358971813E-3</v>
      </c>
      <c r="E31" s="292">
        <f>'Nacionalidad-Alojamiento(datos)'!E31/'Nacionalidad-Alojamiento(datos)'!$E$33</f>
        <v>1.7249181175659368E-2</v>
      </c>
      <c r="F31" s="292">
        <f>'Nacionalidad-Alojamiento(datos)'!F31/'Nacionalidad-Alojamiento(datos)'!$F$33</f>
        <v>8.2055579462324193E-3</v>
      </c>
      <c r="G31" s="292">
        <f>'Nacionalidad-Alojamiento(datos)'!G31/'Nacionalidad-Alojamiento(datos)'!$G$33</f>
        <v>5.4192669464784779E-3</v>
      </c>
      <c r="H31" s="292">
        <f>'Nacionalidad-Alojamiento(datos)'!H31/'Nacionalidad-Alojamiento(datos)'!$H$33</f>
        <v>1.9903498190591073E-2</v>
      </c>
      <c r="I31" s="292">
        <f>'Nacionalidad-Alojamiento(datos)'!I31/'Nacionalidad-Alojamiento(datos)'!$I$33</f>
        <v>2.4539693926351027E-3</v>
      </c>
    </row>
    <row r="32" spans="2:11" ht="12.75">
      <c r="B32" s="288" t="s">
        <v>181</v>
      </c>
      <c r="C32" s="293">
        <f>'Nacionalidad-Alojamiento(datos)'!C32/'Nacionalidad-Alojamiento(datos)'!$C$33</f>
        <v>0.77774417252573103</v>
      </c>
      <c r="D32" s="293">
        <f>'Nacionalidad-Alojamiento(datos)'!D32/'Nacionalidad-Alojamiento(datos)'!$D$33</f>
        <v>0.75140928052561384</v>
      </c>
      <c r="E32" s="293">
        <f>'Nacionalidad-Alojamiento(datos)'!E32/'Nacionalidad-Alojamiento(datos)'!$E$33</f>
        <v>0.79344078607136703</v>
      </c>
      <c r="F32" s="293">
        <f>'Nacionalidad-Alojamiento(datos)'!F32/'Nacionalidad-Alojamiento(datos)'!$F$33</f>
        <v>0.76965551604647475</v>
      </c>
      <c r="G32" s="293">
        <f>'Nacionalidad-Alojamiento(datos)'!G32/'Nacionalidad-Alojamiento(datos)'!$G$33</f>
        <v>0.62378667521461695</v>
      </c>
      <c r="H32" s="293">
        <f>'Nacionalidad-Alojamiento(datos)'!H32/'Nacionalidad-Alojamiento(datos)'!$H$33</f>
        <v>0.83011660635303575</v>
      </c>
      <c r="I32" s="293">
        <f>'Nacionalidad-Alojamiento(datos)'!I32/'Nacionalidad-Alojamiento(datos)'!$I$33</f>
        <v>0.82844631755141085</v>
      </c>
    </row>
    <row r="33" spans="2:9" ht="12.75">
      <c r="B33" s="281" t="s">
        <v>107</v>
      </c>
      <c r="C33" s="294">
        <f>'Nacionalidad-Alojamiento(datos)'!C33/'Nacionalidad-Alojamiento(datos)'!$C$33</f>
        <v>1</v>
      </c>
      <c r="D33" s="294">
        <f>'Nacionalidad-Alojamiento(datos)'!D33/'Nacionalidad-Alojamiento(datos)'!$D$33</f>
        <v>1</v>
      </c>
      <c r="E33" s="294">
        <f>'Nacionalidad-Alojamiento(datos)'!E33/'Nacionalidad-Alojamiento(datos)'!$E$33</f>
        <v>1</v>
      </c>
      <c r="F33" s="294">
        <f>'Nacionalidad-Alojamiento(datos)'!F33/'Nacionalidad-Alojamiento(datos)'!$F$33</f>
        <v>1</v>
      </c>
      <c r="G33" s="294">
        <f>'Nacionalidad-Alojamiento(datos)'!G33/'Nacionalidad-Alojamiento(datos)'!$G$33</f>
        <v>1</v>
      </c>
      <c r="H33" s="294">
        <f>'Nacionalidad-Alojamiento(datos)'!H33/'Nacionalidad-Alojamiento(datos)'!$H$33</f>
        <v>1</v>
      </c>
      <c r="I33" s="294">
        <f>'Nacionalidad-Alojamiento(datos)'!I33/'Nacionalidad-Alojamiento(datos)'!$I$33</f>
        <v>1</v>
      </c>
    </row>
    <row r="34" spans="2:9">
      <c r="B34" s="283" t="s">
        <v>90</v>
      </c>
      <c r="C34" s="284"/>
      <c r="D34" s="284"/>
      <c r="E34" s="284"/>
      <c r="F34" s="284"/>
      <c r="G34" s="284"/>
      <c r="H34" s="284"/>
      <c r="I34" s="285"/>
    </row>
  </sheetData>
  <mergeCells count="7">
    <mergeCell ref="B34:I34"/>
    <mergeCell ref="B7:I7"/>
    <mergeCell ref="B8:I8"/>
    <mergeCell ref="B9:B10"/>
    <mergeCell ref="C9:C10"/>
    <mergeCell ref="D9:H9"/>
    <mergeCell ref="I9:I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71"/>
  <sheetViews>
    <sheetView showGridLines="0" showRowColHeaders="0" zoomScaleNormal="100" workbookViewId="0">
      <pane xSplit="2" ySplit="15" topLeftCell="T16" activePane="bottomRight" state="frozen"/>
      <selection activeCell="B25" sqref="B25"/>
      <selection pane="topRight" activeCell="B25" sqref="B25"/>
      <selection pane="bottomLeft" activeCell="B25" sqref="B25"/>
      <selection pane="bottomRight" activeCell="B25" sqref="B25"/>
    </sheetView>
  </sheetViews>
  <sheetFormatPr baseColWidth="10" defaultColWidth="15.85546875" defaultRowHeight="15" outlineLevelRow="1"/>
  <cols>
    <col min="1" max="1" width="15.85546875" style="195"/>
    <col min="2" max="2" width="15.5703125" style="195" customWidth="1"/>
    <col min="3" max="25" width="9.85546875" customWidth="1"/>
    <col min="27" max="16384" width="15.85546875" style="195"/>
  </cols>
  <sheetData>
    <row r="5" spans="2:26" ht="15.75" customHeight="1">
      <c r="B5" s="295" t="s">
        <v>198</v>
      </c>
      <c r="C5" s="295"/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/>
      <c r="X5" s="295"/>
      <c r="Y5" s="295"/>
    </row>
    <row r="6" spans="2:26" s="202" customFormat="1" ht="25.5">
      <c r="B6" s="196" t="s">
        <v>158</v>
      </c>
      <c r="C6" s="197" t="s">
        <v>159</v>
      </c>
      <c r="D6" s="197" t="s">
        <v>161</v>
      </c>
      <c r="E6" s="197" t="s">
        <v>162</v>
      </c>
      <c r="F6" s="197" t="s">
        <v>163</v>
      </c>
      <c r="G6" s="198" t="s">
        <v>164</v>
      </c>
      <c r="H6" s="198" t="s">
        <v>165</v>
      </c>
      <c r="I6" s="198" t="s">
        <v>166</v>
      </c>
      <c r="J6" s="198" t="s">
        <v>167</v>
      </c>
      <c r="K6" s="197" t="s">
        <v>168</v>
      </c>
      <c r="L6" s="199" t="s">
        <v>169</v>
      </c>
      <c r="M6" s="199" t="s">
        <v>170</v>
      </c>
      <c r="N6" s="199" t="s">
        <v>171</v>
      </c>
      <c r="O6" s="199" t="s">
        <v>172</v>
      </c>
      <c r="P6" s="197" t="s">
        <v>173</v>
      </c>
      <c r="Q6" s="197" t="s">
        <v>174</v>
      </c>
      <c r="R6" s="197" t="s">
        <v>175</v>
      </c>
      <c r="S6" s="200" t="s">
        <v>176</v>
      </c>
      <c r="T6" s="200" t="s">
        <v>177</v>
      </c>
      <c r="U6" s="200" t="s">
        <v>178</v>
      </c>
      <c r="V6" s="200" t="s">
        <v>179</v>
      </c>
      <c r="W6" s="200" t="s">
        <v>180</v>
      </c>
      <c r="X6" s="200" t="s">
        <v>181</v>
      </c>
      <c r="Y6" s="196" t="s">
        <v>107</v>
      </c>
      <c r="Z6"/>
    </row>
    <row r="7" spans="2:26" hidden="1">
      <c r="B7" s="51" t="s">
        <v>37</v>
      </c>
      <c r="C7" s="204" t="e">
        <f>GETPIVOTDATA("dato",'[1]evolucion mensual nacionali'!$A$4,"indicador","España","mes",12,"año",2010)/GETPIVOTDATA("dato",'[1]evolucion mensual nacionali'!$A$4,"indicador","TOTAL","mes",12,"año",2010)</f>
        <v>#REF!</v>
      </c>
      <c r="D7" s="204" t="e">
        <f>GETPIVOTDATA("dato",'[1]evolucion mensual nacionali'!$A$4,"indicador","HOLANDA","mes",12,"año",2010)/GETPIVOTDATA("dato",'[1]evolucion mensual nacionali'!$A$4,"indicador","TOTAL","mes",12,"año",2010)</f>
        <v>#REF!</v>
      </c>
      <c r="E7" s="204" t="e">
        <f>GETPIVOTDATA("dato",'[1]evolucion mensual nacionali'!$A$4,"indicador","BÉLGICA","mes",12,"año",2010)/GETPIVOTDATA("dato",'[1]evolucion mensual nacionali'!$A$4,"indicador","TOTAL","mes",12,"año",2010)</f>
        <v>#REF!</v>
      </c>
      <c r="F7" s="204" t="e">
        <f>GETPIVOTDATA("dato",'[1]evolucion mensual nacionali'!$A$4,"indicador","ALEMANIA","mes",12,"año",2010)/GETPIVOTDATA("dato",'[1]evolucion mensual nacionali'!$A$4,"indicador","TOTAL","mes",12,"año",2010)</f>
        <v>#REF!</v>
      </c>
      <c r="G7" s="204" t="e">
        <f>GETPIVOTDATA("dato",'[1]evolucion mensual nacionali'!$A$4,"indicador","FRANCIA","mes",12,"año",2010)/GETPIVOTDATA("dato",'[1]evolucion mensual nacionali'!$A$4,"indicador","TOTAL","mes",12,"año",2010)</f>
        <v>#REF!</v>
      </c>
      <c r="H7" s="204" t="e">
        <f>GETPIVOTDATA("dato",'[1]evolucion mensual nacionali'!$A$4,"indicador","REINO UNIDO","mes",12,"año",2010)/GETPIVOTDATA("dato",'[1]evolucion mensual nacionali'!$A$4,"indicador","TOTAL","mes",12,"año",2010)</f>
        <v>#REF!</v>
      </c>
      <c r="I7" s="204" t="e">
        <f>GETPIVOTDATA("dato",'[1]evolucion mensual nacionali'!$A$4,"indicador","IRLANDA","mes",12,"año",2010)/GETPIVOTDATA("dato",'[1]evolucion mensual nacionali'!$A$4,"indicador","TOTAL","mes",12,"año",2010)</f>
        <v>#REF!</v>
      </c>
      <c r="J7" s="204" t="e">
        <f>GETPIVOTDATA("dato",'[1]evolucion mensual nacionali'!$A$4,"indicador","ITALIA","mes",12,"año",2010)/GETPIVOTDATA("dato",'[1]evolucion mensual nacionali'!$A$4,"indicador","TOTAL","mes",12,"año",2010)</f>
        <v>#REF!</v>
      </c>
      <c r="K7" s="204" t="e">
        <f>(GETPIVOTDATA("dato",'[1]evolucion mensual nacionali'!$A$4,"indicador","SUECIA","mes",12,"año",2010)+GETPIVOTDATA("dato",'[1]evolucion mensual nacionali'!$A$4,"indicador","NORUEGA","mes",12,"año",2010)+GETPIVOTDATA("dato",'[1]evolucion mensual nacionali'!$A$4,"indicador","DINAMARCA","mes",12,"año",2010)+GETPIVOTDATA("dato",'[1]evolucion mensual nacionali'!$A$4,"indicador","FINLANDIA","mes",12,"año",2010))/GETPIVOTDATA("dato",'[1]evolucion mensual nacionali'!$A$4,"indicador","TOTAL","mes",12,"año",2010)</f>
        <v>#REF!</v>
      </c>
      <c r="L7" s="204" t="e">
        <f>GETPIVOTDATA("dato",'[1]evolucion mensual nacionali'!$A$4,"indicador","SUECIA","mes",12,"año",2010)/GETPIVOTDATA("dato",'[1]evolucion mensual nacionali'!$A$4,"indicador","TOTAL","mes",12,"año",2010)</f>
        <v>#REF!</v>
      </c>
      <c r="M7" s="204" t="e">
        <f>GETPIVOTDATA("dato",'[1]evolucion mensual nacionali'!$A$4,"indicador","NORUEGA","mes",12,"año",2010)/GETPIVOTDATA("dato",'[1]evolucion mensual nacionali'!$A$4,"indicador","TOTAL","mes",12,"año",2010)</f>
        <v>#REF!</v>
      </c>
      <c r="N7" s="204" t="e">
        <f>GETPIVOTDATA("dato",'[1]evolucion mensual nacionali'!$A$4,"indicador","DINAMARCA","mes",12,"año",2010)/GETPIVOTDATA("dato",'[1]evolucion mensual nacionali'!$A$4,"indicador","TOTAL","mes",12,"año",2010)</f>
        <v>#REF!</v>
      </c>
      <c r="O7" s="204" t="e">
        <f>GETPIVOTDATA("dato",'[1]evolucion mensual nacionali'!$A$4,"indicador","FINLANDIA","mes",12,"año",2010)/GETPIVOTDATA("dato",'[1]evolucion mensual nacionali'!$A$4,"indicador","TOTAL","mes",12,"año",2010)</f>
        <v>#REF!</v>
      </c>
      <c r="P7" s="204" t="e">
        <f>GETPIVOTDATA("dato",'[1]evolucion mensual nacionali'!$A$4,"indicador","SUIZA","mes",12,"año",2010)/GETPIVOTDATA("dato",'[1]evolucion mensual nacionali'!$A$4,"indicador","TOTAL","mes",12,"año",2010)</f>
        <v>#REF!</v>
      </c>
      <c r="Q7" s="204" t="e">
        <f>GETPIVOTDATA("dato",'[1]evolucion mensual nacionali'!$A$4,"indicador","AUSTRIA","mes",12,"año",2010)/GETPIVOTDATA("dato",'[1]evolucion mensual nacionali'!$A$4,"indicador","TOTAL","mes",12,"año",2010)</f>
        <v>#REF!</v>
      </c>
      <c r="R7" s="204" t="e">
        <f>GETPIVOTDATA("dato",'[1]evolucion mensual nacionali'!$A$4,"indicador","RUSIA","mes",12,"año",2010)/GETPIVOTDATA("dato",'[1]evolucion mensual nacionali'!$A$4,"indicador","TOTAL","mes",12,"año",2010)</f>
        <v>#REF!</v>
      </c>
      <c r="S7" s="204" t="e">
        <f>GETPIVOTDATA("dato",'[1]evolucion mensual nacionali'!$A$4,"indicador","PAÍSES DEL ESTE","mes",12,"año",2010)/GETPIVOTDATA("dato",'[1]evolucion mensual nacionali'!$A$4,"indicador","TOTAL","mes",12,"año",2010)</f>
        <v>#REF!</v>
      </c>
      <c r="T7" s="204" t="e">
        <f>GETPIVOTDATA("dato",'[1]evolucion mensual nacionali'!$A$4,"indicador","RESTO DE EUROPA","mes",12,"año",2010)/GETPIVOTDATA("dato",'[1]evolucion mensual nacionali'!$A$4,"indicador","TOTAL","mes",12,"año",2010)</f>
        <v>#REF!</v>
      </c>
      <c r="U7" s="204" t="e">
        <f>GETPIVOTDATA("dato",'[1]evolucion mensual nacionali'!$A$4,"indicador","USA","mes",12,"año",2010)/GETPIVOTDATA("dato",'[1]evolucion mensual nacionali'!$A$4,"indicador","TOTAL","mes",12,"año",2010)</f>
        <v>#REF!</v>
      </c>
      <c r="V7" s="204" t="e">
        <f>GETPIVOTDATA("dato",'[1]evolucion mensual nacionali'!$A$4,"indicador","RESTO DE AMÉRICA","mes",12,"año",2010)/GETPIVOTDATA("dato",'[1]evolucion mensual nacionali'!$A$4,"indicador","TOTAL","mes",12,"año",2010)</f>
        <v>#REF!</v>
      </c>
      <c r="W7" s="204" t="e">
        <f>GETPIVOTDATA("dato",'[1]evolucion mensual nacionali'!$A$4,"indicador","RESTO DEL MUNDO","mes",12,"año",2010)/GETPIVOTDATA("dato",'[1]evolucion mensual nacionali'!$A$4,"indicador","TOTAL","mes",12,"año",2010)</f>
        <v>#REF!</v>
      </c>
      <c r="X7" s="204" t="e">
        <f>(GETPIVOTDATA("dato",'[1]evolucion mensual nacionali'!$A$4,"indicador","TOTAL","mes",12,"año",2010)-GETPIVOTDATA("dato",'[1]evolucion mensual nacionali'!$A$4,"indicador","España","mes",12,"año",2010))/GETPIVOTDATA("dato",'[1]evolucion mensual nacionali'!$A$4,"indicador","TOTAL","mes",12,"año",2010)</f>
        <v>#REF!</v>
      </c>
      <c r="Y7" s="206" t="e">
        <f>GETPIVOTDATA("dato",'[1]evolucion mensual nacionali'!$A$4,"indicador","TOTAL","mes",12,"año",2010)/GETPIVOTDATA("dato",'[1]evolucion mensual nacionali'!$A$4,"indicador","TOTAL","mes",12,"año",2010)</f>
        <v>#REF!</v>
      </c>
    </row>
    <row r="8" spans="2:26" hidden="1">
      <c r="B8" s="51" t="s">
        <v>38</v>
      </c>
      <c r="C8" s="204" t="e">
        <f>GETPIVOTDATA("dato",'[1]evolucion mensual nacionali'!$A$4,"indicador","España","mes",11,"año",2010)/GETPIVOTDATA("dato",'[1]evolucion mensual nacionali'!$A$4,"indicador","TOTAL","mes",11,"año",2010)</f>
        <v>#REF!</v>
      </c>
      <c r="D8" s="204" t="e">
        <f>GETPIVOTDATA("dato",'[1]evolucion mensual nacionali'!$A$4,"indicador","HOLANDA","mes",11,"año",2010)/GETPIVOTDATA("dato",'[1]evolucion mensual nacionali'!$A$4,"indicador","TOTAL","mes",11,"año",2010)</f>
        <v>#REF!</v>
      </c>
      <c r="E8" s="204" t="e">
        <f>GETPIVOTDATA("dato",'[1]evolucion mensual nacionali'!$A$4,"indicador","BÉLGICA","mes",11,"año",2010)/GETPIVOTDATA("dato",'[1]evolucion mensual nacionali'!$A$4,"indicador","TOTAL","mes",11,"año",2010)</f>
        <v>#REF!</v>
      </c>
      <c r="F8" s="204" t="e">
        <f>GETPIVOTDATA("dato",'[1]evolucion mensual nacionali'!$A$4,"indicador","ALEMANIA","mes",11,"año",2010)/GETPIVOTDATA("dato",'[1]evolucion mensual nacionali'!$A$4,"indicador","TOTAL","mes",11,"año",2010)</f>
        <v>#REF!</v>
      </c>
      <c r="G8" s="204" t="e">
        <f>GETPIVOTDATA("dato",'[1]evolucion mensual nacionali'!$A$4,"indicador","FRANCIA","mes",11,"año",2010)/GETPIVOTDATA("dato",'[1]evolucion mensual nacionali'!$A$4,"indicador","TOTAL","mes",11,"año",2010)</f>
        <v>#REF!</v>
      </c>
      <c r="H8" s="204" t="e">
        <f>GETPIVOTDATA("dato",'[1]evolucion mensual nacionali'!$A$4,"indicador","REINO UNIDO","mes",11,"año",2010)/GETPIVOTDATA("dato",'[1]evolucion mensual nacionali'!$A$4,"indicador","TOTAL","mes",11,"año",2010)</f>
        <v>#REF!</v>
      </c>
      <c r="I8" s="204" t="e">
        <f>GETPIVOTDATA("dato",'[1]evolucion mensual nacionali'!$A$4,"indicador","IRLANDA","mes",11,"año",2010)/GETPIVOTDATA("dato",'[1]evolucion mensual nacionali'!$A$4,"indicador","TOTAL","mes",11,"año",2010)</f>
        <v>#REF!</v>
      </c>
      <c r="J8" s="204" t="e">
        <f>GETPIVOTDATA("dato",'[1]evolucion mensual nacionali'!$A$4,"indicador","ITALIA","mes",11,"año",2010)/GETPIVOTDATA("dato",'[1]evolucion mensual nacionali'!$A$4,"indicador","TOTAL","mes",11,"año",2010)</f>
        <v>#REF!</v>
      </c>
      <c r="K8" s="204" t="e">
        <f>(GETPIVOTDATA("dato",'[1]evolucion mensual nacionali'!$A$4,"indicador","SUECIA","mes",11,"año",2010)+GETPIVOTDATA("dato",'[1]evolucion mensual nacionali'!$A$4,"indicador","NORUEGA","mes",11,"año",2010)+GETPIVOTDATA("dato",'[1]evolucion mensual nacionali'!$A$4,"indicador","DINAMARCA","mes",11,"año",2010)+GETPIVOTDATA("dato",'[1]evolucion mensual nacionali'!$A$4,"indicador","FINLANDIA","mes",11,"año",2010))/GETPIVOTDATA("dato",'[1]evolucion mensual nacionali'!$A$4,"indicador","TOTAL","mes",11,"año",2010)</f>
        <v>#REF!</v>
      </c>
      <c r="L8" s="204" t="e">
        <f>GETPIVOTDATA("dato",'[1]evolucion mensual nacionali'!$A$4,"indicador","SUECIA","mes",11,"año",2010)/GETPIVOTDATA("dato",'[1]evolucion mensual nacionali'!$A$4,"indicador","TOTAL","mes",11,"año",2010)</f>
        <v>#REF!</v>
      </c>
      <c r="M8" s="204" t="e">
        <f>GETPIVOTDATA("dato",'[1]evolucion mensual nacionali'!$A$4,"indicador","NORUEGA","mes",11,"año",2010)/GETPIVOTDATA("dato",'[1]evolucion mensual nacionali'!$A$4,"indicador","TOTAL","mes",11,"año",2010)</f>
        <v>#REF!</v>
      </c>
      <c r="N8" s="204" t="e">
        <f>GETPIVOTDATA("dato",'[1]evolucion mensual nacionali'!$A$4,"indicador","DINAMARCA","mes",11,"año",2010)/GETPIVOTDATA("dato",'[1]evolucion mensual nacionali'!$A$4,"indicador","TOTAL","mes",11,"año",2010)</f>
        <v>#REF!</v>
      </c>
      <c r="O8" s="204" t="e">
        <f>GETPIVOTDATA("dato",'[1]evolucion mensual nacionali'!$A$4,"indicador","FINLANDIA","mes",11,"año",2010)/GETPIVOTDATA("dato",'[1]evolucion mensual nacionali'!$A$4,"indicador","TOTAL","mes",11,"año",2010)</f>
        <v>#REF!</v>
      </c>
      <c r="P8" s="204" t="e">
        <f>GETPIVOTDATA("dato",'[1]evolucion mensual nacionali'!$A$4,"indicador","SUIZA","mes",11,"año",2010)/GETPIVOTDATA("dato",'[1]evolucion mensual nacionali'!$A$4,"indicador","TOTAL","mes",11,"año",2010)</f>
        <v>#REF!</v>
      </c>
      <c r="Q8" s="204" t="e">
        <f>GETPIVOTDATA("dato",'[1]evolucion mensual nacionali'!$A$4,"indicador","AUSTRIA","mes",11,"año",2010)/GETPIVOTDATA("dato",'[1]evolucion mensual nacionali'!$A$4,"indicador","TOTAL","mes",11,"año",2010)</f>
        <v>#REF!</v>
      </c>
      <c r="R8" s="204" t="e">
        <f>GETPIVOTDATA("dato",'[1]evolucion mensual nacionali'!$A$4,"indicador","RUSIA","mes",11,"año",2010)/GETPIVOTDATA("dato",'[1]evolucion mensual nacionali'!$A$4,"indicador","TOTAL","mes",11,"año",2010)</f>
        <v>#REF!</v>
      </c>
      <c r="S8" s="204" t="e">
        <f>GETPIVOTDATA("dato",'[1]evolucion mensual nacionali'!$A$4,"indicador","PAÍSES DEL ESTE","mes",11,"año",2010)/GETPIVOTDATA("dato",'[1]evolucion mensual nacionali'!$A$4,"indicador","TOTAL","mes",11,"año",2010)</f>
        <v>#REF!</v>
      </c>
      <c r="T8" s="204" t="e">
        <f>GETPIVOTDATA("dato",'[1]evolucion mensual nacionali'!$A$4,"indicador","RESTO DE EUROPA","mes",11,"año",2010)/GETPIVOTDATA("dato",'[1]evolucion mensual nacionali'!$A$4,"indicador","TOTAL","mes",11,"año",2010)</f>
        <v>#REF!</v>
      </c>
      <c r="U8" s="204" t="e">
        <f>GETPIVOTDATA("dato",'[1]evolucion mensual nacionali'!$A$4,"indicador","USA","mes",11,"año",2010)/GETPIVOTDATA("dato",'[1]evolucion mensual nacionali'!$A$4,"indicador","TOTAL","mes",11,"año",2010)</f>
        <v>#REF!</v>
      </c>
      <c r="V8" s="204" t="e">
        <f>GETPIVOTDATA("dato",'[1]evolucion mensual nacionali'!$A$4,"indicador","RESTO DE AMÉRICA","mes",11,"año",2010)/GETPIVOTDATA("dato",'[1]evolucion mensual nacionali'!$A$4,"indicador","TOTAL","mes",11,"año",2010)</f>
        <v>#REF!</v>
      </c>
      <c r="W8" s="204" t="e">
        <f>GETPIVOTDATA("dato",'[1]evolucion mensual nacionali'!$A$4,"indicador","RESTO DEL MUNDO","mes",11,"año",2010)/GETPIVOTDATA("dato",'[1]evolucion mensual nacionali'!$A$4,"indicador","TOTAL","mes",11,"año",2010)</f>
        <v>#REF!</v>
      </c>
      <c r="X8" s="204" t="e">
        <f>(GETPIVOTDATA("dato",'[1]evolucion mensual nacionali'!$A$4,"indicador","TOTAL","mes",11,"año",2010)-GETPIVOTDATA("dato",'[1]evolucion mensual nacionali'!$A$4,"indicador","España","mes",11,"año",2010))/GETPIVOTDATA("dato",'[1]evolucion mensual nacionali'!$A$4,"indicador","TOTAL","mes",11,"año",2010)</f>
        <v>#REF!</v>
      </c>
      <c r="Y8" s="206" t="e">
        <f>GETPIVOTDATA("dato",'[1]evolucion mensual nacionali'!$A$4,"indicador","TOTAL","mes",11,"año",2010)/GETPIVOTDATA("dato",'[1]evolucion mensual nacionali'!$A$4,"indicador","TOTAL","mes",11,"año",2010)</f>
        <v>#REF!</v>
      </c>
    </row>
    <row r="9" spans="2:26" hidden="1">
      <c r="B9" s="51" t="s">
        <v>39</v>
      </c>
      <c r="C9" s="204" t="e">
        <f>GETPIVOTDATA("dato",'[1]evolucion mensual nacionali'!$A$4,"indicador","España","mes",10,"año",2010)/GETPIVOTDATA("dato",'[1]evolucion mensual nacionali'!$A$4,"indicador","TOTAL","mes",10,"año",2010)</f>
        <v>#REF!</v>
      </c>
      <c r="D9" s="204" t="e">
        <f>GETPIVOTDATA("dato",'[1]evolucion mensual nacionali'!$A$4,"indicador","HOLANDA","mes",10,"año",2010)/GETPIVOTDATA("dato",'[1]evolucion mensual nacionali'!$A$4,"indicador","TOTAL","mes",10,"año",2010)</f>
        <v>#REF!</v>
      </c>
      <c r="E9" s="204" t="e">
        <f>GETPIVOTDATA("dato",'[1]evolucion mensual nacionali'!$A$4,"indicador","BÉLGICA","mes",10,"año",2010)/GETPIVOTDATA("dato",'[1]evolucion mensual nacionali'!$A$4,"indicador","TOTAL","mes",10,"año",2010)</f>
        <v>#REF!</v>
      </c>
      <c r="F9" s="204" t="e">
        <f>GETPIVOTDATA("dato",'[1]evolucion mensual nacionali'!$A$4,"indicador","ALEMANIA","mes",10,"año",2010)/GETPIVOTDATA("dato",'[1]evolucion mensual nacionali'!$A$4,"indicador","TOTAL","mes",10,"año",2010)</f>
        <v>#REF!</v>
      </c>
      <c r="G9" s="204" t="e">
        <f>GETPIVOTDATA("dato",'[1]evolucion mensual nacionali'!$A$4,"indicador","FRANCIA","mes",10,"año",2010)/GETPIVOTDATA("dato",'[1]evolucion mensual nacionali'!$A$4,"indicador","TOTAL","mes",10,"año",2010)</f>
        <v>#REF!</v>
      </c>
      <c r="H9" s="204" t="e">
        <f>GETPIVOTDATA("dato",'[1]evolucion mensual nacionali'!$A$4,"indicador","REINO UNIDO","mes",10,"año",2010)/GETPIVOTDATA("dato",'[1]evolucion mensual nacionali'!$A$4,"indicador","TOTAL","mes",10,"año",2010)</f>
        <v>#REF!</v>
      </c>
      <c r="I9" s="204" t="e">
        <f>GETPIVOTDATA("dato",'[1]evolucion mensual nacionali'!$A$4,"indicador","IRLANDA","mes",10,"año",2010)/GETPIVOTDATA("dato",'[1]evolucion mensual nacionali'!$A$4,"indicador","TOTAL","mes",10,"año",2010)</f>
        <v>#REF!</v>
      </c>
      <c r="J9" s="204" t="e">
        <f>GETPIVOTDATA("dato",'[1]evolucion mensual nacionali'!$A$4,"indicador","ITALIA","mes",10,"año",2010)/GETPIVOTDATA("dato",'[1]evolucion mensual nacionali'!$A$4,"indicador","TOTAL","mes",10,"año",2010)</f>
        <v>#REF!</v>
      </c>
      <c r="K9" s="204" t="e">
        <f>(GETPIVOTDATA("dato",'[1]evolucion mensual nacionali'!$A$4,"indicador","SUECIA","mes",10,"año",2010)+GETPIVOTDATA("dato",'[1]evolucion mensual nacionali'!$A$4,"indicador","NORUEGA","mes",10,"año",2010)+GETPIVOTDATA("dato",'[1]evolucion mensual nacionali'!$A$4,"indicador","DINAMARCA","mes",10,"año",2010)+GETPIVOTDATA("dato",'[1]evolucion mensual nacionali'!$A$4,"indicador","FINLANDIA","mes",10,"año",2010))/GETPIVOTDATA("dato",'[1]evolucion mensual nacionali'!$A$4,"indicador","TOTAL","mes",10,"año",2010)</f>
        <v>#REF!</v>
      </c>
      <c r="L9" s="204" t="e">
        <f>GETPIVOTDATA("dato",'[1]evolucion mensual nacionali'!$A$4,"indicador","SUECIA","mes",10,"año",2010)/GETPIVOTDATA("dato",'[1]evolucion mensual nacionali'!$A$4,"indicador","TOTAL","mes",10,"año",2010)</f>
        <v>#REF!</v>
      </c>
      <c r="M9" s="204" t="e">
        <f>GETPIVOTDATA("dato",'[1]evolucion mensual nacionali'!$A$4,"indicador","NORUEGA","mes",10,"año",2010)/GETPIVOTDATA("dato",'[1]evolucion mensual nacionali'!$A$4,"indicador","TOTAL","mes",10,"año",2010)</f>
        <v>#REF!</v>
      </c>
      <c r="N9" s="204" t="e">
        <f>GETPIVOTDATA("dato",'[1]evolucion mensual nacionali'!$A$4,"indicador","DINAMARCA","mes",10,"año",2010)/GETPIVOTDATA("dato",'[1]evolucion mensual nacionali'!$A$4,"indicador","TOTAL","mes",10,"año",2010)</f>
        <v>#REF!</v>
      </c>
      <c r="O9" s="204" t="e">
        <f>GETPIVOTDATA("dato",'[1]evolucion mensual nacionali'!$A$4,"indicador","FINLANDIA","mes",10,"año",2010)/GETPIVOTDATA("dato",'[1]evolucion mensual nacionali'!$A$4,"indicador","TOTAL","mes",10,"año",2010)</f>
        <v>#REF!</v>
      </c>
      <c r="P9" s="204" t="e">
        <f>GETPIVOTDATA("dato",'[1]evolucion mensual nacionali'!$A$4,"indicador","SUIZA","mes",10,"año",2010)/GETPIVOTDATA("dato",'[1]evolucion mensual nacionali'!$A$4,"indicador","TOTAL","mes",10,"año",2010)</f>
        <v>#REF!</v>
      </c>
      <c r="Q9" s="204" t="e">
        <f>GETPIVOTDATA("dato",'[1]evolucion mensual nacionali'!$A$4,"indicador","AUSTRIA","mes",10,"año",2010)/GETPIVOTDATA("dato",'[1]evolucion mensual nacionali'!$A$4,"indicador","TOTAL","mes",10,"año",2010)</f>
        <v>#REF!</v>
      </c>
      <c r="R9" s="204" t="e">
        <f>GETPIVOTDATA("dato",'[1]evolucion mensual nacionali'!$A$4,"indicador","RUSIA","mes",10,"año",2010)/GETPIVOTDATA("dato",'[1]evolucion mensual nacionali'!$A$4,"indicador","TOTAL","mes",10,"año",2010)</f>
        <v>#REF!</v>
      </c>
      <c r="S9" s="204" t="e">
        <f>GETPIVOTDATA("dato",'[1]evolucion mensual nacionali'!$A$4,"indicador","PAÍSES DEL ESTE","mes",10,"año",2010)/GETPIVOTDATA("dato",'[1]evolucion mensual nacionali'!$A$4,"indicador","TOTAL","mes",10,"año",2010)</f>
        <v>#REF!</v>
      </c>
      <c r="T9" s="204" t="e">
        <f>GETPIVOTDATA("dato",'[1]evolucion mensual nacionali'!$A$4,"indicador","RESTO DE EUROPA","mes",10,"año",2010)/GETPIVOTDATA("dato",'[1]evolucion mensual nacionali'!$A$4,"indicador","TOTAL","mes",10,"año",2010)</f>
        <v>#REF!</v>
      </c>
      <c r="U9" s="204" t="e">
        <f>GETPIVOTDATA("dato",'[1]evolucion mensual nacionali'!$A$4,"indicador","USA","mes",10,"año",2010)/GETPIVOTDATA("dato",'[1]evolucion mensual nacionali'!$A$4,"indicador","TOTAL","mes",10,"año",2010)</f>
        <v>#REF!</v>
      </c>
      <c r="V9" s="204" t="e">
        <f>GETPIVOTDATA("dato",'[1]evolucion mensual nacionali'!$A$4,"indicador","RESTO DE AMÉRICA","mes",10,"año",2010)/GETPIVOTDATA("dato",'[1]evolucion mensual nacionali'!$A$4,"indicador","TOTAL","mes",10,"año",2010)</f>
        <v>#REF!</v>
      </c>
      <c r="W9" s="204" t="e">
        <f>GETPIVOTDATA("dato",'[1]evolucion mensual nacionali'!$A$4,"indicador","RESTO DEL MUNDO","mes",10,"año",2010)/GETPIVOTDATA("dato",'[1]evolucion mensual nacionali'!$A$4,"indicador","TOTAL","mes",10,"año",2010)</f>
        <v>#REF!</v>
      </c>
      <c r="X9" s="204" t="e">
        <f>(GETPIVOTDATA("dato",'[1]evolucion mensual nacionali'!$A$4,"indicador","TOTAL","mes",10,"año",2010)-GETPIVOTDATA("dato",'[1]evolucion mensual nacionali'!$A$4,"indicador","España","mes",10,"año",2010))/GETPIVOTDATA("dato",'[1]evolucion mensual nacionali'!$A$4,"indicador","TOTAL","mes",10,"año",2010)</f>
        <v>#REF!</v>
      </c>
      <c r="Y9" s="206" t="e">
        <f>GETPIVOTDATA("dato",'[1]evolucion mensual nacionali'!$A$4,"indicador","TOTAL","mes",10,"año",2010)/GETPIVOTDATA("dato",'[1]evolucion mensual nacionali'!$A$4,"indicador","TOTAL","mes",10,"año",2010)</f>
        <v>#REF!</v>
      </c>
    </row>
    <row r="10" spans="2:26" hidden="1">
      <c r="B10" s="51" t="s">
        <v>40</v>
      </c>
      <c r="C10" s="204" t="e">
        <f>GETPIVOTDATA("dato",'[1]evolucion mensual nacionali'!$A$4,"indicador","España","mes",9,"año",2010)/GETPIVOTDATA("dato",'[1]evolucion mensual nacionali'!$A$4,"indicador","TOTAL","mes",9,"año",2010)</f>
        <v>#REF!</v>
      </c>
      <c r="D10" s="204" t="e">
        <f>GETPIVOTDATA("dato",'[1]evolucion mensual nacionali'!$A$4,"indicador","HOLANDA","mes",9,"año",2010)/GETPIVOTDATA("dato",'[1]evolucion mensual nacionali'!$A$4,"indicador","TOTAL","mes",9,"año",2010)</f>
        <v>#REF!</v>
      </c>
      <c r="E10" s="204" t="e">
        <f>GETPIVOTDATA("dato",'[1]evolucion mensual nacionali'!$A$4,"indicador","BÉLGICA","mes",9,"año",2010)/GETPIVOTDATA("dato",'[1]evolucion mensual nacionali'!$A$4,"indicador","TOTAL","mes",9,"año",2010)</f>
        <v>#REF!</v>
      </c>
      <c r="F10" s="204" t="e">
        <f>GETPIVOTDATA("dato",'[1]evolucion mensual nacionali'!$A$4,"indicador","ALEMANIA","mes",9,"año",2010)/GETPIVOTDATA("dato",'[1]evolucion mensual nacionali'!$A$4,"indicador","TOTAL","mes",9,"año",2010)</f>
        <v>#REF!</v>
      </c>
      <c r="G10" s="204" t="e">
        <f>GETPIVOTDATA("dato",'[1]evolucion mensual nacionali'!$A$4,"indicador","FRANCIA","mes",9,"año",2010)/GETPIVOTDATA("dato",'[1]evolucion mensual nacionali'!$A$4,"indicador","TOTAL","mes",9,"año",2010)</f>
        <v>#REF!</v>
      </c>
      <c r="H10" s="204" t="e">
        <f>GETPIVOTDATA("dato",'[1]evolucion mensual nacionali'!$A$4,"indicador","REINO UNIDO","mes",9,"año",2010)/GETPIVOTDATA("dato",'[1]evolucion mensual nacionali'!$A$4,"indicador","TOTAL","mes",9,"año",2010)</f>
        <v>#REF!</v>
      </c>
      <c r="I10" s="204" t="e">
        <f>GETPIVOTDATA("dato",'[1]evolucion mensual nacionali'!$A$4,"indicador","IRLANDA","mes",9,"año",2010)/GETPIVOTDATA("dato",'[1]evolucion mensual nacionali'!$A$4,"indicador","TOTAL","mes",9,"año",2010)</f>
        <v>#REF!</v>
      </c>
      <c r="J10" s="204" t="e">
        <f>GETPIVOTDATA("dato",'[1]evolucion mensual nacionali'!$A$4,"indicador","ITALIA","mes",9,"año",2010)/GETPIVOTDATA("dato",'[1]evolucion mensual nacionali'!$A$4,"indicador","TOTAL","mes",9,"año",2010)</f>
        <v>#REF!</v>
      </c>
      <c r="K10" s="204" t="e">
        <f>(GETPIVOTDATA("dato",'[1]evolucion mensual nacionali'!$A$4,"indicador","SUECIA","mes",9,"año",2010)+GETPIVOTDATA("dato",'[1]evolucion mensual nacionali'!$A$4,"indicador","NORUEGA","mes",9,"año",2010)+GETPIVOTDATA("dato",'[1]evolucion mensual nacionali'!$A$4,"indicador","DINAMARCA","mes",9,"año",2010)+GETPIVOTDATA("dato",'[1]evolucion mensual nacionali'!$A$4,"indicador","FINLANDIA","mes",9,"año",2010))/GETPIVOTDATA("dato",'[1]evolucion mensual nacionali'!$A$4,"indicador","TOTAL","mes",9,"año",2010)</f>
        <v>#REF!</v>
      </c>
      <c r="L10" s="204" t="e">
        <f>GETPIVOTDATA("dato",'[1]evolucion mensual nacionali'!$A$4,"indicador","SUECIA","mes",9,"año",2010)/GETPIVOTDATA("dato",'[1]evolucion mensual nacionali'!$A$4,"indicador","TOTAL","mes",9,"año",2010)</f>
        <v>#REF!</v>
      </c>
      <c r="M10" s="204" t="e">
        <f>GETPIVOTDATA("dato",'[1]evolucion mensual nacionali'!$A$4,"indicador","NORUEGA","mes",9,"año",2010)/GETPIVOTDATA("dato",'[1]evolucion mensual nacionali'!$A$4,"indicador","TOTAL","mes",9,"año",2010)</f>
        <v>#REF!</v>
      </c>
      <c r="N10" s="204" t="e">
        <f>GETPIVOTDATA("dato",'[1]evolucion mensual nacionali'!$A$4,"indicador","DINAMARCA","mes",9,"año",2010)/GETPIVOTDATA("dato",'[1]evolucion mensual nacionali'!$A$4,"indicador","TOTAL","mes",9,"año",2010)</f>
        <v>#REF!</v>
      </c>
      <c r="O10" s="204" t="e">
        <f>GETPIVOTDATA("dato",'[1]evolucion mensual nacionali'!$A$4,"indicador","FINLANDIA","mes",9,"año",2010)/GETPIVOTDATA("dato",'[1]evolucion mensual nacionali'!$A$4,"indicador","TOTAL","mes",9,"año",2010)</f>
        <v>#REF!</v>
      </c>
      <c r="P10" s="204" t="e">
        <f>GETPIVOTDATA("dato",'[1]evolucion mensual nacionali'!$A$4,"indicador","SUIZA","mes",9,"año",2010)/GETPIVOTDATA("dato",'[1]evolucion mensual nacionali'!$A$4,"indicador","TOTAL","mes",9,"año",2010)</f>
        <v>#REF!</v>
      </c>
      <c r="Q10" s="204" t="e">
        <f>GETPIVOTDATA("dato",'[1]evolucion mensual nacionali'!$A$4,"indicador","AUSTRIA","mes",9,"año",2010)/GETPIVOTDATA("dato",'[1]evolucion mensual nacionali'!$A$4,"indicador","TOTAL","mes",9,"año",2010)</f>
        <v>#REF!</v>
      </c>
      <c r="R10" s="204" t="e">
        <f>GETPIVOTDATA("dato",'[1]evolucion mensual nacionali'!$A$4,"indicador","RUSIA","mes",9,"año",2010)/GETPIVOTDATA("dato",'[1]evolucion mensual nacionali'!$A$4,"indicador","TOTAL","mes",9,"año",2010)</f>
        <v>#REF!</v>
      </c>
      <c r="S10" s="204" t="e">
        <f>GETPIVOTDATA("dato",'[1]evolucion mensual nacionali'!$A$4,"indicador","PAÍSES DEL ESTE","mes",9,"año",2010)/GETPIVOTDATA("dato",'[1]evolucion mensual nacionali'!$A$4,"indicador","TOTAL","mes",9,"año",2010)</f>
        <v>#REF!</v>
      </c>
      <c r="T10" s="204" t="e">
        <f>GETPIVOTDATA("dato",'[1]evolucion mensual nacionali'!$A$4,"indicador","RESTO DE EUROPA","mes",9,"año",2010)/GETPIVOTDATA("dato",'[1]evolucion mensual nacionali'!$A$4,"indicador","TOTAL","mes",9,"año",2010)</f>
        <v>#REF!</v>
      </c>
      <c r="U10" s="204" t="e">
        <f>GETPIVOTDATA("dato",'[1]evolucion mensual nacionali'!$A$4,"indicador","USA","mes",9,"año",2010)/GETPIVOTDATA("dato",'[1]evolucion mensual nacionali'!$A$4,"indicador","TOTAL","mes",9,"año",2010)</f>
        <v>#REF!</v>
      </c>
      <c r="V10" s="204" t="e">
        <f>GETPIVOTDATA("dato",'[1]evolucion mensual nacionali'!$A$4,"indicador","RESTO DE AMÉRICA","mes",9,"año",2010)/GETPIVOTDATA("dato",'[1]evolucion mensual nacionali'!$A$4,"indicador","TOTAL","mes",9,"año",2010)</f>
        <v>#REF!</v>
      </c>
      <c r="W10" s="204" t="e">
        <f>GETPIVOTDATA("dato",'[1]evolucion mensual nacionali'!$A$4,"indicador","RESTO DEL MUNDO","mes",9,"año",2010)/GETPIVOTDATA("dato",'[1]evolucion mensual nacionali'!$A$4,"indicador","TOTAL","mes",9,"año",2010)</f>
        <v>#REF!</v>
      </c>
      <c r="X10" s="204" t="e">
        <f>(GETPIVOTDATA("dato",'[1]evolucion mensual nacionali'!$A$4,"indicador","TOTAL","mes",9,"año",2010)-GETPIVOTDATA("dato",'[1]evolucion mensual nacionali'!$A$4,"indicador","España","mes",9,"año",2010))/GETPIVOTDATA("dato",'[1]evolucion mensual nacionali'!$A$4,"indicador","TOTAL","mes",9,"año",2010)</f>
        <v>#REF!</v>
      </c>
      <c r="Y10" s="206" t="e">
        <f>GETPIVOTDATA("dato",'[1]evolucion mensual nacionali'!$A$4,"indicador","TOTAL","mes",9,"año",2010)/GETPIVOTDATA("dato",'[1]evolucion mensual nacionali'!$A$4,"indicador","TOTAL","mes",9,"año",2010)</f>
        <v>#REF!</v>
      </c>
    </row>
    <row r="11" spans="2:26" hidden="1">
      <c r="B11" s="51" t="s">
        <v>41</v>
      </c>
      <c r="C11" s="204" t="e">
        <f>GETPIVOTDATA("dato",'[1]evolucion mensual nacionali'!$A$4,"indicador","España","mes",8,"año",2010)/GETPIVOTDATA("dato",'[1]evolucion mensual nacionali'!$A$4,"indicador","TOTAL","mes",8,"año",2010)</f>
        <v>#REF!</v>
      </c>
      <c r="D11" s="204" t="e">
        <f>GETPIVOTDATA("dato",'[1]evolucion mensual nacionali'!$A$4,"indicador","HOLANDA","mes",8,"año",2010)/GETPIVOTDATA("dato",'[1]evolucion mensual nacionali'!$A$4,"indicador","TOTAL","mes",8,"año",2010)</f>
        <v>#REF!</v>
      </c>
      <c r="E11" s="204" t="e">
        <f>GETPIVOTDATA("dato",'[1]evolucion mensual nacionali'!$A$4,"indicador","BÉLGICA","mes",8,"año",2010)/GETPIVOTDATA("dato",'[1]evolucion mensual nacionali'!$A$4,"indicador","TOTAL","mes",8,"año",2010)</f>
        <v>#REF!</v>
      </c>
      <c r="F11" s="204" t="e">
        <f>GETPIVOTDATA("dato",'[1]evolucion mensual nacionali'!$A$4,"indicador","ALEMANIA","mes",8,"año",2010)/GETPIVOTDATA("dato",'[1]evolucion mensual nacionali'!$A$4,"indicador","TOTAL","mes",8,"año",2010)</f>
        <v>#REF!</v>
      </c>
      <c r="G11" s="204" t="e">
        <f>GETPIVOTDATA("dato",'[1]evolucion mensual nacionali'!$A$4,"indicador","FRANCIA","mes",8,"año",2010)/GETPIVOTDATA("dato",'[1]evolucion mensual nacionali'!$A$4,"indicador","TOTAL","mes",8,"año",2010)</f>
        <v>#REF!</v>
      </c>
      <c r="H11" s="204" t="e">
        <f>GETPIVOTDATA("dato",'[1]evolucion mensual nacionali'!$A$4,"indicador","REINO UNIDO","mes",8,"año",2010)/GETPIVOTDATA("dato",'[1]evolucion mensual nacionali'!$A$4,"indicador","TOTAL","mes",8,"año",2010)</f>
        <v>#REF!</v>
      </c>
      <c r="I11" s="204" t="e">
        <f>GETPIVOTDATA("dato",'[1]evolucion mensual nacionali'!$A$4,"indicador","IRLANDA","mes",8,"año",2010)/GETPIVOTDATA("dato",'[1]evolucion mensual nacionali'!$A$4,"indicador","TOTAL","mes",8,"año",2010)</f>
        <v>#REF!</v>
      </c>
      <c r="J11" s="204" t="e">
        <f>GETPIVOTDATA("dato",'[1]evolucion mensual nacionali'!$A$4,"indicador","ITALIA","mes",8,"año",2010)/GETPIVOTDATA("dato",'[1]evolucion mensual nacionali'!$A$4,"indicador","TOTAL","mes",8,"año",2010)</f>
        <v>#REF!</v>
      </c>
      <c r="K11" s="204" t="e">
        <f>(GETPIVOTDATA("dato",'[1]evolucion mensual nacionali'!$A$4,"indicador","SUECIA","mes",8,"año",2010)+GETPIVOTDATA("dato",'[1]evolucion mensual nacionali'!$A$4,"indicador","NORUEGA","mes",8,"año",2010)+GETPIVOTDATA("dato",'[1]evolucion mensual nacionali'!$A$4,"indicador","DINAMARCA","mes",8,"año",2010)+GETPIVOTDATA("dato",'[1]evolucion mensual nacionali'!$A$4,"indicador","FINLANDIA","mes",8,"año",2010))/GETPIVOTDATA("dato",'[1]evolucion mensual nacionali'!$A$4,"indicador","TOTAL","mes",8,"año",2010)</f>
        <v>#REF!</v>
      </c>
      <c r="L11" s="204" t="e">
        <f>GETPIVOTDATA("dato",'[1]evolucion mensual nacionali'!$A$4,"indicador","SUECIA","mes",8,"año",2010)/GETPIVOTDATA("dato",'[1]evolucion mensual nacionali'!$A$4,"indicador","TOTAL","mes",8,"año",2010)</f>
        <v>#REF!</v>
      </c>
      <c r="M11" s="204" t="e">
        <f>GETPIVOTDATA("dato",'[1]evolucion mensual nacionali'!$A$4,"indicador","NORUEGA","mes",8,"año",2010)/GETPIVOTDATA("dato",'[1]evolucion mensual nacionali'!$A$4,"indicador","TOTAL","mes",8,"año",2010)</f>
        <v>#REF!</v>
      </c>
      <c r="N11" s="204" t="e">
        <f>GETPIVOTDATA("dato",'[1]evolucion mensual nacionali'!$A$4,"indicador","DINAMARCA","mes",8,"año",2010)/GETPIVOTDATA("dato",'[1]evolucion mensual nacionali'!$A$4,"indicador","TOTAL","mes",8,"año",2010)</f>
        <v>#REF!</v>
      </c>
      <c r="O11" s="204" t="e">
        <f>GETPIVOTDATA("dato",'[1]evolucion mensual nacionali'!$A$4,"indicador","FINLANDIA","mes",8,"año",2010)/GETPIVOTDATA("dato",'[1]evolucion mensual nacionali'!$A$4,"indicador","TOTAL","mes",8,"año",2010)</f>
        <v>#REF!</v>
      </c>
      <c r="P11" s="204" t="e">
        <f>GETPIVOTDATA("dato",'[1]evolucion mensual nacionali'!$A$4,"indicador","SUIZA","mes",8,"año",2010)/GETPIVOTDATA("dato",'[1]evolucion mensual nacionali'!$A$4,"indicador","TOTAL","mes",8,"año",2010)</f>
        <v>#REF!</v>
      </c>
      <c r="Q11" s="204" t="e">
        <f>GETPIVOTDATA("dato",'[1]evolucion mensual nacionali'!$A$4,"indicador","AUSTRIA","mes",8,"año",2010)/GETPIVOTDATA("dato",'[1]evolucion mensual nacionali'!$A$4,"indicador","TOTAL","mes",8,"año",2010)</f>
        <v>#REF!</v>
      </c>
      <c r="R11" s="204" t="e">
        <f>GETPIVOTDATA("dato",'[1]evolucion mensual nacionali'!$A$4,"indicador","RUSIA","mes",8,"año",2010)/GETPIVOTDATA("dato",'[1]evolucion mensual nacionali'!$A$4,"indicador","TOTAL","mes",8,"año",2010)</f>
        <v>#REF!</v>
      </c>
      <c r="S11" s="204" t="e">
        <f>GETPIVOTDATA("dato",'[1]evolucion mensual nacionali'!$A$4,"indicador","PAÍSES DEL ESTE","mes",8,"año",2010)/GETPIVOTDATA("dato",'[1]evolucion mensual nacionali'!$A$4,"indicador","TOTAL","mes",8,"año",2010)</f>
        <v>#REF!</v>
      </c>
      <c r="T11" s="204" t="e">
        <f>GETPIVOTDATA("dato",'[1]evolucion mensual nacionali'!$A$4,"indicador","RESTO DE EUROPA","mes",8,"año",2010)/GETPIVOTDATA("dato",'[1]evolucion mensual nacionali'!$A$4,"indicador","TOTAL","mes",8,"año",2010)</f>
        <v>#REF!</v>
      </c>
      <c r="U11" s="204" t="e">
        <f>GETPIVOTDATA("dato",'[1]evolucion mensual nacionali'!$A$4,"indicador","USA","mes",8,"año",2010)/GETPIVOTDATA("dato",'[1]evolucion mensual nacionali'!$A$4,"indicador","TOTAL","mes",8,"año",2010)</f>
        <v>#REF!</v>
      </c>
      <c r="V11" s="204" t="e">
        <f>GETPIVOTDATA("dato",'[1]evolucion mensual nacionali'!$A$4,"indicador","RESTO DE AMÉRICA","mes",8,"año",2010)/GETPIVOTDATA("dato",'[1]evolucion mensual nacionali'!$A$4,"indicador","TOTAL","mes",8,"año",2010)</f>
        <v>#REF!</v>
      </c>
      <c r="W11" s="204" t="e">
        <f>GETPIVOTDATA("dato",'[1]evolucion mensual nacionali'!$A$4,"indicador","RESTO DEL MUNDO","mes",8,"año",2010)/GETPIVOTDATA("dato",'[1]evolucion mensual nacionali'!$A$4,"indicador","TOTAL","mes",8,"año",2010)</f>
        <v>#REF!</v>
      </c>
      <c r="X11" s="204" t="e">
        <f>(GETPIVOTDATA("dato",'[1]evolucion mensual nacionali'!$A$4,"indicador","TOTAL","mes",8,"año",2010)-GETPIVOTDATA("dato",'[1]evolucion mensual nacionali'!$A$4,"indicador","España","mes",8,"año",2010))/GETPIVOTDATA("dato",'[1]evolucion mensual nacionali'!$A$4,"indicador","TOTAL","mes",8,"año",2010)</f>
        <v>#REF!</v>
      </c>
      <c r="Y11" s="206" t="e">
        <f>GETPIVOTDATA("dato",'[1]evolucion mensual nacionali'!$A$4,"indicador","TOTAL","mes",8,"año",2010)/GETPIVOTDATA("dato",'[1]evolucion mensual nacionali'!$A$4,"indicador","TOTAL","mes",8,"año",2010)</f>
        <v>#REF!</v>
      </c>
    </row>
    <row r="12" spans="2:26">
      <c r="B12" s="51" t="s">
        <v>42</v>
      </c>
      <c r="C12" s="204">
        <f>GETPIVOTDATA("dato",'[1]evolucion mensual nacionali'!$A$4,"indicador","España","mes",7,"año",2010)/GETPIVOTDATA("dato",'[1]evolucion mensual nacionali'!$A$4,"indicador","TOTAL","mes",7,"año",2010)</f>
        <v>0.28997802547575763</v>
      </c>
      <c r="D12" s="204">
        <f>GETPIVOTDATA("dato",'[1]evolucion mensual nacionali'!$A$4,"indicador","HOLANDA","mes",7,"año",2010)/GETPIVOTDATA("dato",'[1]evolucion mensual nacionali'!$A$4,"indicador","TOTAL","mes",7,"año",2010)</f>
        <v>3.5171480862576592E-2</v>
      </c>
      <c r="E12" s="204">
        <f>GETPIVOTDATA("dato",'[1]evolucion mensual nacionali'!$A$4,"indicador","BÉLGICA","mes",7,"año",2010)/GETPIVOTDATA("dato",'[1]evolucion mensual nacionali'!$A$4,"indicador","TOTAL","mes",7,"año",2010)</f>
        <v>3.8201394372318218E-2</v>
      </c>
      <c r="F12" s="204">
        <f>GETPIVOTDATA("dato",'[1]evolucion mensual nacionali'!$A$4,"indicador","ALEMANIA","mes",7,"año",2010)/GETPIVOTDATA("dato",'[1]evolucion mensual nacionali'!$A$4,"indicador","TOTAL","mes",7,"año",2010)</f>
        <v>0.11336161252609092</v>
      </c>
      <c r="G12" s="204">
        <f>GETPIVOTDATA("dato",'[1]evolucion mensual nacionali'!$A$4,"indicador","FRANCIA","mes",7,"año",2010)/GETPIVOTDATA("dato",'[1]evolucion mensual nacionali'!$A$4,"indicador","TOTAL","mes",7,"año",2010)</f>
        <v>2.4471907498882912E-2</v>
      </c>
      <c r="H12" s="204">
        <f>GETPIVOTDATA("dato",'[1]evolucion mensual nacionali'!$A$4,"indicador","REINO UNIDO","mes",7,"año",2010)/GETPIVOTDATA("dato",'[1]evolucion mensual nacionali'!$A$4,"indicador","TOTAL","mes",7,"año",2010)</f>
        <v>0.30529286103408804</v>
      </c>
      <c r="I12" s="204">
        <f>GETPIVOTDATA("dato",'[1]evolucion mensual nacionali'!$A$4,"indicador","IRLANDA","mes",7,"año",2010)/GETPIVOTDATA("dato",'[1]evolucion mensual nacionali'!$A$4,"indicador","TOTAL","mes",7,"año",2010)</f>
        <v>1.3135746246273819E-2</v>
      </c>
      <c r="J12" s="204">
        <f>GETPIVOTDATA("dato",'[1]evolucion mensual nacionali'!$A$4,"indicador","ITALIA","mes",7,"año",2010)/GETPIVOTDATA("dato",'[1]evolucion mensual nacionali'!$A$4,"indicador","TOTAL","mes",7,"año",2010)</f>
        <v>2.3241578982806006E-2</v>
      </c>
      <c r="K12" s="204">
        <f>(GETPIVOTDATA("dato",'[1]evolucion mensual nacionali'!$A$4,"indicador","SUECIA","mes",7,"año",2010)+GETPIVOTDATA("dato",'[1]evolucion mensual nacionali'!$A$4,"indicador","NORUEGA","mes",7,"año",2010)+GETPIVOTDATA("dato",'[1]evolucion mensual nacionali'!$A$4,"indicador","DINAMARCA","mes",7,"año",2010)+GETPIVOTDATA("dato",'[1]evolucion mensual nacionali'!$A$4,"indicador","FINLANDIA","mes",7,"año",2010))/GETPIVOTDATA("dato",'[1]evolucion mensual nacionali'!$A$4,"indicador","TOTAL","mes",7,"año",2010)</f>
        <v>1.8730374423857356E-2</v>
      </c>
      <c r="L12" s="204">
        <f>GETPIVOTDATA("dato",'[1]evolucion mensual nacionali'!$A$4,"indicador","SUECIA","mes",7,"año",2010)/GETPIVOTDATA("dato",'[1]evolucion mensual nacionali'!$A$4,"indicador","TOTAL","mes",7,"año",2010)</f>
        <v>7.7063860783125526E-3</v>
      </c>
      <c r="M12" s="204">
        <f>GETPIVOTDATA("dato",'[1]evolucion mensual nacionali'!$A$4,"indicador","NORUEGA","mes",7,"año",2010)/GETPIVOTDATA("dato",'[1]evolucion mensual nacionali'!$A$4,"indicador","TOTAL","mes",7,"año",2010)</f>
        <v>5.8761958976807386E-3</v>
      </c>
      <c r="N12" s="204">
        <f>GETPIVOTDATA("dato",'[1]evolucion mensual nacionali'!$A$4,"indicador","DINAMARCA","mes",7,"año",2010)/GETPIVOTDATA("dato",'[1]evolucion mensual nacionali'!$A$4,"indicador","TOTAL","mes",7,"año",2010)</f>
        <v>4.4071469232605546E-3</v>
      </c>
      <c r="O12" s="204">
        <f>GETPIVOTDATA("dato",'[1]evolucion mensual nacionali'!$A$4,"indicador","FINLANDIA","mes",7,"año",2010)/GETPIVOTDATA("dato",'[1]evolucion mensual nacionali'!$A$4,"indicador","TOTAL","mes",7,"año",2010)</f>
        <v>7.4064552460350978E-4</v>
      </c>
      <c r="P12" s="204">
        <f>GETPIVOTDATA("dato",'[1]evolucion mensual nacionali'!$A$4,"indicador","SUIZA","mes",7,"año",2010)/GETPIVOTDATA("dato",'[1]evolucion mensual nacionali'!$A$4,"indicador","TOTAL","mes",7,"año",2010)</f>
        <v>8.679631023865925E-3</v>
      </c>
      <c r="Q12" s="204">
        <f>GETPIVOTDATA("dato",'[1]evolucion mensual nacionali'!$A$4,"indicador","AUSTRIA","mes",7,"año",2010)/GETPIVOTDATA("dato",'[1]evolucion mensual nacionali'!$A$4,"indicador","TOTAL","mes",7,"año",2010)</f>
        <v>8.1960690697859481E-3</v>
      </c>
      <c r="R12" s="204">
        <f>GETPIVOTDATA("dato",'[1]evolucion mensual nacionali'!$A$4,"indicador","RUSIA","mes",7,"año",2010)/GETPIVOTDATA("dato",'[1]evolucion mensual nacionali'!$A$4,"indicador","TOTAL","mes",7,"año",2010)</f>
        <v>3.9150155168297923E-2</v>
      </c>
      <c r="S12" s="204">
        <f>GETPIVOTDATA("dato",'[1]evolucion mensual nacionali'!$A$4,"indicador","PAÍSES DEL ESTE","mes",7,"año",2010)/GETPIVOTDATA("dato",'[1]evolucion mensual nacionali'!$A$4,"indicador","TOTAL","mes",7,"año",2010)</f>
        <v>3.5030697002527991E-2</v>
      </c>
      <c r="T12" s="204">
        <f>GETPIVOTDATA("dato",'[1]evolucion mensual nacionali'!$A$4,"indicador","RESTO DE EUROPA","mes",7,"año",2010)/GETPIVOTDATA("dato",'[1]evolucion mensual nacionali'!$A$4,"indicador","TOTAL","mes",7,"año",2010)</f>
        <v>3.3977878570860189E-2</v>
      </c>
      <c r="U12" s="204">
        <f>GETPIVOTDATA("dato",'[1]evolucion mensual nacionali'!$A$4,"indicador","USA","mes",7,"año",2010)/GETPIVOTDATA("dato",'[1]evolucion mensual nacionali'!$A$4,"indicador","TOTAL","mes",7,"año",2010)</f>
        <v>1.977095078073832E-3</v>
      </c>
      <c r="V12" s="204">
        <f>GETPIVOTDATA("dato",'[1]evolucion mensual nacionali'!$A$4,"indicador","RESTO DE AMÉRICA","mes",7,"año",2010)/GETPIVOTDATA("dato",'[1]evolucion mensual nacionali'!$A$4,"indicador","TOTAL","mes",7,"año",2010)</f>
        <v>1.7995849936647264E-3</v>
      </c>
      <c r="W12" s="204">
        <f>GETPIVOTDATA("dato",'[1]evolucion mensual nacionali'!$A$4,"indicador","RESTO DEL MUNDO","mes",7,"año",2010)/GETPIVOTDATA("dato",'[1]evolucion mensual nacionali'!$A$4,"indicador","TOTAL","mes",7,"año",2010)</f>
        <v>9.6039076702719578E-3</v>
      </c>
      <c r="X12" s="204">
        <f>(GETPIVOTDATA("dato",'[1]evolucion mensual nacionali'!$A$4,"indicador","TOTAL","mes",7,"año",2010)-GETPIVOTDATA("dato",'[1]evolucion mensual nacionali'!$A$4,"indicador","España","mes",7,"año",2010))/GETPIVOTDATA("dato",'[1]evolucion mensual nacionali'!$A$4,"indicador","TOTAL","mes",7,"año",2010)</f>
        <v>0.71002197452424232</v>
      </c>
      <c r="Y12" s="206">
        <f>GETPIVOTDATA("dato",'[1]evolucion mensual nacionali'!$A$4,"indicador","TOTAL","mes",7,"año",2010)/GETPIVOTDATA("dato",'[1]evolucion mensual nacionali'!$A$4,"indicador","TOTAL","mes",7,"año",2010)</f>
        <v>1</v>
      </c>
    </row>
    <row r="13" spans="2:26">
      <c r="B13" s="51" t="s">
        <v>43</v>
      </c>
      <c r="C13" s="204">
        <f>GETPIVOTDATA("dato",'[1]evolucion mensual nacionali'!$A$4,"indicador","España","mes",6,"año",2010)/GETPIVOTDATA("dato",'[1]evolucion mensual nacionali'!$A$4,"indicador","TOTAL","mes",6,"año",2010)</f>
        <v>0.25750793269044275</v>
      </c>
      <c r="D13" s="204">
        <f>GETPIVOTDATA("dato",'[1]evolucion mensual nacionali'!$A$4,"indicador","HOLANDA","mes",6,"año",2010)/GETPIVOTDATA("dato",'[1]evolucion mensual nacionali'!$A$4,"indicador","TOTAL","mes",6,"año",2010)</f>
        <v>1.9643591394679472E-2</v>
      </c>
      <c r="E13" s="204">
        <f>GETPIVOTDATA("dato",'[1]evolucion mensual nacionali'!$A$4,"indicador","BÉLGICA","mes",6,"año",2010)/GETPIVOTDATA("dato",'[1]evolucion mensual nacionali'!$A$4,"indicador","TOTAL","mes",6,"año",2010)</f>
        <v>3.2289347308315945E-2</v>
      </c>
      <c r="F13" s="204">
        <f>GETPIVOTDATA("dato",'[1]evolucion mensual nacionali'!$A$4,"indicador","ALEMANIA","mes",6,"año",2010)/GETPIVOTDATA("dato",'[1]evolucion mensual nacionali'!$A$4,"indicador","TOTAL","mes",6,"año",2010)</f>
        <v>0.13635693615832797</v>
      </c>
      <c r="G13" s="204">
        <f>GETPIVOTDATA("dato",'[1]evolucion mensual nacionali'!$A$4,"indicador","FRANCIA","mes",6,"año",2010)/GETPIVOTDATA("dato",'[1]evolucion mensual nacionali'!$A$4,"indicador","TOTAL","mes",6,"año",2010)</f>
        <v>1.4825791135557849E-2</v>
      </c>
      <c r="H13" s="204">
        <f>GETPIVOTDATA("dato",'[1]evolucion mensual nacionali'!$A$4,"indicador","REINO UNIDO","mes",6,"año",2010)/GETPIVOTDATA("dato",'[1]evolucion mensual nacionali'!$A$4,"indicador","TOTAL","mes",6,"año",2010)</f>
        <v>0.35574140592876485</v>
      </c>
      <c r="I13" s="204">
        <f>GETPIVOTDATA("dato",'[1]evolucion mensual nacionali'!$A$4,"indicador","IRLANDA","mes",6,"año",2010)/GETPIVOTDATA("dato",'[1]evolucion mensual nacionali'!$A$4,"indicador","TOTAL","mes",6,"año",2010)</f>
        <v>1.5244730288524947E-2</v>
      </c>
      <c r="J13" s="204">
        <f>GETPIVOTDATA("dato",'[1]evolucion mensual nacionali'!$A$4,"indicador","ITALIA","mes",6,"año",2010)/GETPIVOTDATA("dato",'[1]evolucion mensual nacionali'!$A$4,"indicador","TOTAL","mes",6,"año",2010)</f>
        <v>2.1156427224838438E-2</v>
      </c>
      <c r="K13" s="204">
        <f>(GETPIVOTDATA("dato",'[1]evolucion mensual nacionali'!$A$4,"indicador","SUECIA","mes",6,"año",2010)+GETPIVOTDATA("dato",'[1]evolucion mensual nacionali'!$A$4,"indicador","NORUEGA","mes",6,"año",2010)+GETPIVOTDATA("dato",'[1]evolucion mensual nacionali'!$A$4,"indicador","DINAMARCA","mes",6,"año",2010)+GETPIVOTDATA("dato",'[1]evolucion mensual nacionali'!$A$4,"indicador","FINLANDIA","mes",6,"año",2010))/GETPIVOTDATA("dato",'[1]evolucion mensual nacionali'!$A$4,"indicador","TOTAL","mes",6,"año",2010)</f>
        <v>2.0233209461818349E-2</v>
      </c>
      <c r="L13" s="204">
        <f>GETPIVOTDATA("dato",'[1]evolucion mensual nacionali'!$A$4,"indicador","SUECIA","mes",6,"año",2010)/GETPIVOTDATA("dato",'[1]evolucion mensual nacionali'!$A$4,"indicador","TOTAL","mes",6,"año",2010)</f>
        <v>8.6348014305996264E-3</v>
      </c>
      <c r="M13" s="204">
        <f>GETPIVOTDATA("dato",'[1]evolucion mensual nacionali'!$A$4,"indicador","NORUEGA","mes",6,"año",2010)/GETPIVOTDATA("dato",'[1]evolucion mensual nacionali'!$A$4,"indicador","TOTAL","mes",6,"año",2010)</f>
        <v>5.3686276639487345E-3</v>
      </c>
      <c r="N13" s="204">
        <f>GETPIVOTDATA("dato",'[1]evolucion mensual nacionali'!$A$4,"indicador","DINAMARCA","mes",6,"año",2010)/GETPIVOTDATA("dato",'[1]evolucion mensual nacionali'!$A$4,"indicador","TOTAL","mes",6,"año",2010)</f>
        <v>5.4306927236475637E-3</v>
      </c>
      <c r="O13" s="204">
        <f>GETPIVOTDATA("dato",'[1]evolucion mensual nacionali'!$A$4,"indicador","FINLANDIA","mes",6,"año",2010)/GETPIVOTDATA("dato",'[1]evolucion mensual nacionali'!$A$4,"indicador","TOTAL","mes",6,"año",2010)</f>
        <v>7.9908764362242725E-4</v>
      </c>
      <c r="P13" s="204">
        <f>GETPIVOTDATA("dato",'[1]evolucion mensual nacionali'!$A$4,"indicador","SUIZA","mes",6,"año",2010)/GETPIVOTDATA("dato",'[1]evolucion mensual nacionali'!$A$4,"indicador","TOTAL","mes",6,"año",2010)</f>
        <v>6.2530547646570522E-3</v>
      </c>
      <c r="Q13" s="204">
        <f>GETPIVOTDATA("dato",'[1]evolucion mensual nacionali'!$A$4,"indicador","AUSTRIA","mes",6,"año",2010)/GETPIVOTDATA("dato",'[1]evolucion mensual nacionali'!$A$4,"indicador","TOTAL","mes",6,"año",2010)</f>
        <v>6.6332032553123813E-3</v>
      </c>
      <c r="R13" s="204">
        <f>GETPIVOTDATA("dato",'[1]evolucion mensual nacionali'!$A$4,"indicador","RUSIA","mes",6,"año",2010)/GETPIVOTDATA("dato",'[1]evolucion mensual nacionali'!$A$4,"indicador","TOTAL","mes",6,"año",2010)</f>
        <v>3.2258314778466531E-2</v>
      </c>
      <c r="S13" s="204">
        <f>GETPIVOTDATA("dato",'[1]evolucion mensual nacionali'!$A$4,"indicador","PAÍSES DEL ESTE","mes",6,"año",2010)/GETPIVOTDATA("dato",'[1]evolucion mensual nacionali'!$A$4,"indicador","TOTAL","mes",6,"año",2010)</f>
        <v>3.7479537925630545E-2</v>
      </c>
      <c r="T13" s="204">
        <f>GETPIVOTDATA("dato",'[1]evolucion mensual nacionali'!$A$4,"indicador","RESTO DE EUROPA","mes",6,"año",2010)/GETPIVOTDATA("dato",'[1]evolucion mensual nacionali'!$A$4,"indicador","TOTAL","mes",6,"año",2010)</f>
        <v>3.0861850935242869E-2</v>
      </c>
      <c r="U13" s="204">
        <f>GETPIVOTDATA("dato",'[1]evolucion mensual nacionali'!$A$4,"indicador","USA","mes",6,"año",2010)/GETPIVOTDATA("dato",'[1]evolucion mensual nacionali'!$A$4,"indicador","TOTAL","mes",6,"año",2010)</f>
        <v>2.0869376323731353E-3</v>
      </c>
      <c r="V13" s="204">
        <f>GETPIVOTDATA("dato",'[1]evolucion mensual nacionali'!$A$4,"indicador","RESTO DE AMÉRICA","mes",6,"año",2010)/GETPIVOTDATA("dato",'[1]evolucion mensual nacionali'!$A$4,"indicador","TOTAL","mes",6,"año",2010)</f>
        <v>1.5205939626213177E-3</v>
      </c>
      <c r="W13" s="204">
        <f>GETPIVOTDATA("dato",'[1]evolucion mensual nacionali'!$A$4,"indicador","RESTO DEL MUNDO","mes",6,"año",2010)/GETPIVOTDATA("dato",'[1]evolucion mensual nacionali'!$A$4,"indicador","TOTAL","mes",6,"año",2010)</f>
        <v>9.907135154425626E-3</v>
      </c>
      <c r="X13" s="204">
        <f>(GETPIVOTDATA("dato",'[1]evolucion mensual nacionali'!$A$4,"indicador","TOTAL","mes",6,"año",2010)-GETPIVOTDATA("dato",'[1]evolucion mensual nacionali'!$A$4,"indicador","España","mes",6,"año",2010))/GETPIVOTDATA("dato",'[1]evolucion mensual nacionali'!$A$4,"indicador","TOTAL","mes",6,"año",2010)</f>
        <v>0.74249206730955719</v>
      </c>
      <c r="Y13" s="206">
        <f>GETPIVOTDATA("dato",'[1]evolucion mensual nacionali'!$A$4,"indicador","TOTAL","mes",6,"año",2010)/GETPIVOTDATA("dato",'[1]evolucion mensual nacionali'!$A$4,"indicador","TOTAL","mes",6,"año",2010)</f>
        <v>1</v>
      </c>
    </row>
    <row r="14" spans="2:26">
      <c r="B14" s="51" t="s">
        <v>44</v>
      </c>
      <c r="C14" s="204">
        <f>GETPIVOTDATA("dato",'[1]evolucion mensual nacionali'!$A$4,"indicador","España","mes",5,"año",2010)/GETPIVOTDATA("dato",'[1]evolucion mensual nacionali'!$A$4,"indicador","TOTAL","mes",5,"año",2010)</f>
        <v>0.30646171492389773</v>
      </c>
      <c r="D14" s="204">
        <f>GETPIVOTDATA("dato",'[1]evolucion mensual nacionali'!$A$4,"indicador","HOLANDA","mes",5,"año",2010)/GETPIVOTDATA("dato",'[1]evolucion mensual nacionali'!$A$4,"indicador","TOTAL","mes",5,"año",2010)</f>
        <v>4.3827677540579084E-2</v>
      </c>
      <c r="E14" s="204">
        <f>GETPIVOTDATA("dato",'[1]evolucion mensual nacionali'!$A$4,"indicador","BÉLGICA","mes",5,"año",2010)/GETPIVOTDATA("dato",'[1]evolucion mensual nacionali'!$A$4,"indicador","TOTAL","mes",5,"año",2010)</f>
        <v>3.1512462363887446E-2</v>
      </c>
      <c r="F14" s="204">
        <f>GETPIVOTDATA("dato",'[1]evolucion mensual nacionali'!$A$4,"indicador","ALEMANIA","mes",5,"año",2010)/GETPIVOTDATA("dato",'[1]evolucion mensual nacionali'!$A$4,"indicador","TOTAL","mes",5,"año",2010)</f>
        <v>0.13456938250364098</v>
      </c>
      <c r="G14" s="204">
        <f>GETPIVOTDATA("dato",'[1]evolucion mensual nacionali'!$A$4,"indicador","FRANCIA","mes",5,"año",2010)/GETPIVOTDATA("dato",'[1]evolucion mensual nacionali'!$A$4,"indicador","TOTAL","mes",5,"año",2010)</f>
        <v>1.7635207026916896E-2</v>
      </c>
      <c r="H14" s="204">
        <f>GETPIVOTDATA("dato",'[1]evolucion mensual nacionali'!$A$4,"indicador","REINO UNIDO","mes",5,"año",2010)/GETPIVOTDATA("dato",'[1]evolucion mensual nacionali'!$A$4,"indicador","TOTAL","mes",5,"año",2010)</f>
        <v>0.32446668024962461</v>
      </c>
      <c r="I14" s="204">
        <f>GETPIVOTDATA("dato",'[1]evolucion mensual nacionali'!$A$4,"indicador","IRLANDA","mes",5,"año",2010)/GETPIVOTDATA("dato",'[1]evolucion mensual nacionali'!$A$4,"indicador","TOTAL","mes",5,"año",2010)</f>
        <v>1.5627947690519849E-2</v>
      </c>
      <c r="J14" s="204">
        <f>GETPIVOTDATA("dato",'[1]evolucion mensual nacionali'!$A$4,"indicador","ITALIA","mes",5,"año",2010)/GETPIVOTDATA("dato",'[1]evolucion mensual nacionali'!$A$4,"indicador","TOTAL","mes",5,"año",2010)</f>
        <v>1.7280540903568543E-2</v>
      </c>
      <c r="K14" s="204">
        <f>(GETPIVOTDATA("dato",'[1]evolucion mensual nacionali'!$A$4,"indicador","SUECIA","mes",5,"año",2010)+GETPIVOTDATA("dato",'[1]evolucion mensual nacionali'!$A$4,"indicador","NORUEGA","mes",5,"año",2010)+GETPIVOTDATA("dato",'[1]evolucion mensual nacionali'!$A$4,"indicador","DINAMARCA","mes",5,"año",2010)+GETPIVOTDATA("dato",'[1]evolucion mensual nacionali'!$A$4,"indicador","FINLANDIA","mes",5,"año",2010))/GETPIVOTDATA("dato",'[1]evolucion mensual nacionali'!$A$4,"indicador","TOTAL","mes",5,"año",2010)</f>
        <v>1.4556403232743985E-2</v>
      </c>
      <c r="L14" s="204">
        <f>GETPIVOTDATA("dato",'[1]evolucion mensual nacionali'!$A$4,"indicador","SUECIA","mes",5,"año",2010)/GETPIVOTDATA("dato",'[1]evolucion mensual nacionali'!$A$4,"indicador","TOTAL","mes",5,"año",2010)</f>
        <v>5.7350266754201285E-3</v>
      </c>
      <c r="M14" s="204">
        <f>GETPIVOTDATA("dato",'[1]evolucion mensual nacionali'!$A$4,"indicador","NORUEGA","mes",5,"año",2010)/GETPIVOTDATA("dato",'[1]evolucion mensual nacionali'!$A$4,"indicador","TOTAL","mes",5,"año",2010)</f>
        <v>4.1503482519487768E-3</v>
      </c>
      <c r="N14" s="204">
        <f>GETPIVOTDATA("dato",'[1]evolucion mensual nacionali'!$A$4,"indicador","DINAMARCA","mes",5,"año",2010)/GETPIVOTDATA("dato",'[1]evolucion mensual nacionali'!$A$4,"indicador","TOTAL","mes",5,"año",2010)</f>
        <v>4.1729865151412249E-3</v>
      </c>
      <c r="O14" s="204">
        <f>GETPIVOTDATA("dato",'[1]evolucion mensual nacionali'!$A$4,"indicador","FINLANDIA","mes",5,"año",2010)/GETPIVOTDATA("dato",'[1]evolucion mensual nacionali'!$A$4,"indicador","TOTAL","mes",5,"año",2010)</f>
        <v>4.9804179023385325E-4</v>
      </c>
      <c r="P14" s="204">
        <f>GETPIVOTDATA("dato",'[1]evolucion mensual nacionali'!$A$4,"indicador","SUIZA","mes",5,"año",2010)/GETPIVOTDATA("dato",'[1]evolucion mensual nacionali'!$A$4,"indicador","TOTAL","mes",5,"año",2010)</f>
        <v>7.0178615896588411E-3</v>
      </c>
      <c r="Q14" s="204">
        <f>GETPIVOTDATA("dato",'[1]evolucion mensual nacionali'!$A$4,"indicador","AUSTRIA","mes",5,"año",2010)/GETPIVOTDATA("dato",'[1]evolucion mensual nacionali'!$A$4,"indicador","TOTAL","mes",5,"año",2010)</f>
        <v>4.9728718146077166E-3</v>
      </c>
      <c r="R14" s="204">
        <f>GETPIVOTDATA("dato",'[1]evolucion mensual nacionali'!$A$4,"indicador","RUSIA","mes",5,"año",2010)/GETPIVOTDATA("dato",'[1]evolucion mensual nacionali'!$A$4,"indicador","TOTAL","mes",5,"año",2010)</f>
        <v>2.675842709347339E-2</v>
      </c>
      <c r="S14" s="204">
        <f>GETPIVOTDATA("dato",'[1]evolucion mensual nacionali'!$A$4,"indicador","PAÍSES DEL ESTE","mes",5,"año",2010)/GETPIVOTDATA("dato",'[1]evolucion mensual nacionali'!$A$4,"indicador","TOTAL","mes",5,"año",2010)</f>
        <v>1.9951855960277393E-2</v>
      </c>
      <c r="T14" s="204">
        <f>GETPIVOTDATA("dato",'[1]evolucion mensual nacionali'!$A$4,"indicador","RESTO DE EUROPA","mes",5,"año",2010)/GETPIVOTDATA("dato",'[1]evolucion mensual nacionali'!$A$4,"indicador","TOTAL","mes",5,"año",2010)</f>
        <v>2.2155313577675653E-2</v>
      </c>
      <c r="U14" s="204">
        <f>GETPIVOTDATA("dato",'[1]evolucion mensual nacionali'!$A$4,"indicador","USA","mes",5,"año",2010)/GETPIVOTDATA("dato",'[1]evolucion mensual nacionali'!$A$4,"indicador","TOTAL","mes",5,"año",2010)</f>
        <v>1.7506923535493023E-3</v>
      </c>
      <c r="V14" s="204">
        <f>GETPIVOTDATA("dato",'[1]evolucion mensual nacionali'!$A$4,"indicador","RESTO DE AMÉRICA","mes",5,"año",2010)/GETPIVOTDATA("dato",'[1]evolucion mensual nacionali'!$A$4,"indicador","TOTAL","mes",5,"año",2010)</f>
        <v>1.8714297572423578E-3</v>
      </c>
      <c r="W14" s="204">
        <f>GETPIVOTDATA("dato",'[1]evolucion mensual nacionali'!$A$4,"indicador","RESTO DEL MUNDO","mes",5,"año",2010)/GETPIVOTDATA("dato",'[1]evolucion mensual nacionali'!$A$4,"indicador","TOTAL","mes",5,"año",2010)</f>
        <v>9.583531418136268E-3</v>
      </c>
      <c r="X14" s="204">
        <f>(GETPIVOTDATA("dato",'[1]evolucion mensual nacionali'!$A$4,"indicador","TOTAL","mes",5,"año",2010)-GETPIVOTDATA("dato",'[1]evolucion mensual nacionali'!$A$4,"indicador","España","mes",5,"año",2010))/GETPIVOTDATA("dato",'[1]evolucion mensual nacionali'!$A$4,"indicador","TOTAL","mes",5,"año",2010)</f>
        <v>0.69353828507610227</v>
      </c>
      <c r="Y14" s="206">
        <f>GETPIVOTDATA("dato",'[1]evolucion mensual nacionali'!$A$4,"indicador","TOTAL","mes",5,"año",2010)/GETPIVOTDATA("dato",'[1]evolucion mensual nacionali'!$A$4,"indicador","TOTAL","mes",5,"año",2010)</f>
        <v>1</v>
      </c>
    </row>
    <row r="15" spans="2:26">
      <c r="B15" s="51" t="s">
        <v>45</v>
      </c>
      <c r="C15" s="204">
        <f>GETPIVOTDATA("dato",'[1]evolucion mensual nacionali'!$A$4,"indicador","España","mes",4,"año",2010)/GETPIVOTDATA("dato",'[1]evolucion mensual nacionali'!$A$4,"indicador","TOTAL","mes",4,"año",2010)</f>
        <v>0.22841945968035451</v>
      </c>
      <c r="D15" s="204">
        <f>GETPIVOTDATA("dato",'[1]evolucion mensual nacionali'!$A$4,"indicador","HOLANDA","mes",4,"año",2010)/GETPIVOTDATA("dato",'[1]evolucion mensual nacionali'!$A$4,"indicador","TOTAL","mes",4,"año",2010)</f>
        <v>3.3209672372949535E-2</v>
      </c>
      <c r="E15" s="204">
        <f>GETPIVOTDATA("dato",'[1]evolucion mensual nacionali'!$A$4,"indicador","BÉLGICA","mes",4,"año",2010)/GETPIVOTDATA("dato",'[1]evolucion mensual nacionali'!$A$4,"indicador","TOTAL","mes",4,"año",2010)</f>
        <v>4.7582864549744273E-2</v>
      </c>
      <c r="F15" s="204">
        <f>GETPIVOTDATA("dato",'[1]evolucion mensual nacionali'!$A$4,"indicador","ALEMANIA","mes",4,"año",2010)/GETPIVOTDATA("dato",'[1]evolucion mensual nacionali'!$A$4,"indicador","TOTAL","mes",4,"año",2010)</f>
        <v>0.1247294251361654</v>
      </c>
      <c r="G15" s="204">
        <f>GETPIVOTDATA("dato",'[1]evolucion mensual nacionali'!$A$4,"indicador","FRANCIA","mes",4,"año",2010)/GETPIVOTDATA("dato",'[1]evolucion mensual nacionali'!$A$4,"indicador","TOTAL","mes",4,"año",2010)</f>
        <v>3.2896795244267647E-2</v>
      </c>
      <c r="H15" s="204">
        <f>GETPIVOTDATA("dato",'[1]evolucion mensual nacionali'!$A$4,"indicador","REINO UNIDO","mes",4,"año",2010)/GETPIVOTDATA("dato",'[1]evolucion mensual nacionali'!$A$4,"indicador","TOTAL","mes",4,"año",2010)</f>
        <v>0.35879344362784221</v>
      </c>
      <c r="I15" s="204">
        <f>GETPIVOTDATA("dato",'[1]evolucion mensual nacionali'!$A$4,"indicador","IRLANDA","mes",4,"año",2010)/GETPIVOTDATA("dato",'[1]evolucion mensual nacionali'!$A$4,"indicador","TOTAL","mes",4,"año",2010)</f>
        <v>1.4826544751007273E-2</v>
      </c>
      <c r="J15" s="204">
        <f>GETPIVOTDATA("dato",'[1]evolucion mensual nacionali'!$A$4,"indicador","ITALIA","mes",4,"año",2010)/GETPIVOTDATA("dato",'[1]evolucion mensual nacionali'!$A$4,"indicador","TOTAL","mes",4,"año",2010)</f>
        <v>1.6205758216217253E-2</v>
      </c>
      <c r="K15" s="204">
        <f>(GETPIVOTDATA("dato",'[1]evolucion mensual nacionali'!$A$4,"indicador","SUECIA","mes",4,"año",2010)+GETPIVOTDATA("dato",'[1]evolucion mensual nacionali'!$A$4,"indicador","NORUEGA","mes",4,"año",2010)+GETPIVOTDATA("dato",'[1]evolucion mensual nacionali'!$A$4,"indicador","DINAMARCA","mes",4,"año",2010)+GETPIVOTDATA("dato",'[1]evolucion mensual nacionali'!$A$4,"indicador","FINLANDIA","mes",4,"año",2010))/GETPIVOTDATA("dato",'[1]evolucion mensual nacionali'!$A$4,"indicador","TOTAL","mes",4,"año",2010)</f>
        <v>4.5182011480675049E-2</v>
      </c>
      <c r="L15" s="204">
        <f>GETPIVOTDATA("dato",'[1]evolucion mensual nacionali'!$A$4,"indicador","SUECIA","mes",4,"año",2010)/GETPIVOTDATA("dato",'[1]evolucion mensual nacionali'!$A$4,"indicador","TOTAL","mes",4,"año",2010)</f>
        <v>1.8644922770431196E-2</v>
      </c>
      <c r="M15" s="204">
        <f>GETPIVOTDATA("dato",'[1]evolucion mensual nacionali'!$A$4,"indicador","NORUEGA","mes",4,"año",2010)/GETPIVOTDATA("dato",'[1]evolucion mensual nacionali'!$A$4,"indicador","TOTAL","mes",4,"año",2010)</f>
        <v>5.0826570291997372E-3</v>
      </c>
      <c r="N15" s="204">
        <f>GETPIVOTDATA("dato",'[1]evolucion mensual nacionali'!$A$4,"indicador","DINAMARCA","mes",4,"año",2010)/GETPIVOTDATA("dato",'[1]evolucion mensual nacionali'!$A$4,"indicador","TOTAL","mes",4,"año",2010)</f>
        <v>1.2974822969012393E-2</v>
      </c>
      <c r="O15" s="204">
        <f>GETPIVOTDATA("dato",'[1]evolucion mensual nacionali'!$A$4,"indicador","FINLANDIA","mes",4,"año",2010)/GETPIVOTDATA("dato",'[1]evolucion mensual nacionali'!$A$4,"indicador","TOTAL","mes",4,"año",2010)</f>
        <v>8.4796087120317214E-3</v>
      </c>
      <c r="P15" s="204">
        <f>GETPIVOTDATA("dato",'[1]evolucion mensual nacionali'!$A$4,"indicador","SUIZA","mes",4,"año",2010)/GETPIVOTDATA("dato",'[1]evolucion mensual nacionali'!$A$4,"indicador","TOTAL","mes",4,"año",2010)</f>
        <v>7.4451986131242381E-3</v>
      </c>
      <c r="Q15" s="204">
        <f>GETPIVOTDATA("dato",'[1]evolucion mensual nacionali'!$A$4,"indicador","AUSTRIA","mes",4,"año",2010)/GETPIVOTDATA("dato",'[1]evolucion mensual nacionali'!$A$4,"indicador","TOTAL","mes",4,"año",2010)</f>
        <v>8.058182375439784E-3</v>
      </c>
      <c r="R15" s="204">
        <f>GETPIVOTDATA("dato",'[1]evolucion mensual nacionali'!$A$4,"indicador","RUSIA","mes",4,"año",2010)/GETPIVOTDATA("dato",'[1]evolucion mensual nacionali'!$A$4,"indicador","TOTAL","mes",4,"año",2010)</f>
        <v>2.9378523858477373E-2</v>
      </c>
      <c r="S15" s="204">
        <f>GETPIVOTDATA("dato",'[1]evolucion mensual nacionali'!$A$4,"indicador","PAÍSES DEL ESTE","mes",4,"año",2010)/GETPIVOTDATA("dato",'[1]evolucion mensual nacionali'!$A$4,"indicador","TOTAL","mes",4,"año",2010)</f>
        <v>2.2258972869083269E-2</v>
      </c>
      <c r="T15" s="204">
        <f>GETPIVOTDATA("dato",'[1]evolucion mensual nacionali'!$A$4,"indicador","RESTO DE EUROPA","mes",4,"año",2010)/GETPIVOTDATA("dato",'[1]evolucion mensual nacionali'!$A$4,"indicador","TOTAL","mes",4,"año",2010)</f>
        <v>2.1135169304838101E-2</v>
      </c>
      <c r="U15" s="204">
        <f>GETPIVOTDATA("dato",'[1]evolucion mensual nacionali'!$A$4,"indicador","USA","mes",4,"año",2010)/GETPIVOTDATA("dato",'[1]evolucion mensual nacionali'!$A$4,"indicador","TOTAL","mes",4,"año",2010)</f>
        <v>2.4455498017380644E-3</v>
      </c>
      <c r="V15" s="204">
        <f>GETPIVOTDATA("dato",'[1]evolucion mensual nacionali'!$A$4,"indicador","RESTO DE AMÉRICA","mes",4,"año",2010)/GETPIVOTDATA("dato",'[1]evolucion mensual nacionali'!$A$4,"indicador","TOTAL","mes",4,"año",2010)</f>
        <v>2.0943611879114493E-3</v>
      </c>
      <c r="W15" s="204">
        <f>GETPIVOTDATA("dato",'[1]evolucion mensual nacionali'!$A$4,"indicador","RESTO DEL MUNDO","mes",4,"año",2010)/GETPIVOTDATA("dato",'[1]evolucion mensual nacionali'!$A$4,"indicador","TOTAL","mes",4,"año",2010)</f>
        <v>5.3380669301645476E-3</v>
      </c>
      <c r="X15" s="204">
        <f>(GETPIVOTDATA("dato",'[1]evolucion mensual nacionali'!$A$4,"indicador","TOTAL","mes",4,"año",2010)-GETPIVOTDATA("dato",'[1]evolucion mensual nacionali'!$A$4,"indicador","España","mes",4,"año",2010))/GETPIVOTDATA("dato",'[1]evolucion mensual nacionali'!$A$4,"indicador","TOTAL","mes",4,"año",2010)</f>
        <v>0.77158054031964551</v>
      </c>
      <c r="Y15" s="206">
        <f>GETPIVOTDATA("dato",'[1]evolucion mensual nacionali'!$A$4,"indicador","TOTAL","mes",4,"año",2010)/GETPIVOTDATA("dato",'[1]evolucion mensual nacionali'!$A$4,"indicador","TOTAL","mes",4,"año",2010)</f>
        <v>1</v>
      </c>
    </row>
    <row r="16" spans="2:26">
      <c r="B16" s="51" t="s">
        <v>46</v>
      </c>
      <c r="C16" s="204">
        <f>GETPIVOTDATA("dato",'[1]evolucion mensual nacionali'!$A$4,"indicador","España","mes",3,"año",2010)/GETPIVOTDATA("dato",'[1]evolucion mensual nacionali'!$A$4,"indicador","TOTAL","mes",3,"año",2010)</f>
        <v>0.17872998453633959</v>
      </c>
      <c r="D16" s="204">
        <f>GETPIVOTDATA("dato",'[1]evolucion mensual nacionali'!$A$4,"indicador","HOLANDA","mes",3,"año",2010)/GETPIVOTDATA("dato",'[1]evolucion mensual nacionali'!$A$4,"indicador","TOTAL","mes",3,"año",2010)</f>
        <v>3.5587797247896014E-2</v>
      </c>
      <c r="E16" s="204">
        <f>GETPIVOTDATA("dato",'[1]evolucion mensual nacionali'!$A$4,"indicador","BÉLGICA","mes",3,"año",2010)/GETPIVOTDATA("dato",'[1]evolucion mensual nacionali'!$A$4,"indicador","TOTAL","mes",3,"año",2010)</f>
        <v>3.3485594567053141E-2</v>
      </c>
      <c r="F16" s="204">
        <f>GETPIVOTDATA("dato",'[1]evolucion mensual nacionali'!$A$4,"indicador","ALEMANIA","mes",3,"año",2010)/GETPIVOTDATA("dato",'[1]evolucion mensual nacionali'!$A$4,"indicador","TOTAL","mes",3,"año",2010)</f>
        <v>0.14939178644471207</v>
      </c>
      <c r="G16" s="204">
        <f>GETPIVOTDATA("dato",'[1]evolucion mensual nacionali'!$A$4,"indicador","FRANCIA","mes",3,"año",2010)/GETPIVOTDATA("dato",'[1]evolucion mensual nacionali'!$A$4,"indicador","TOTAL","mes",3,"año",2010)</f>
        <v>2.2938950608926166E-2</v>
      </c>
      <c r="H16" s="204">
        <f>GETPIVOTDATA("dato",'[1]evolucion mensual nacionali'!$A$4,"indicador","REINO UNIDO","mes",3,"año",2010)/GETPIVOTDATA("dato",'[1]evolucion mensual nacionali'!$A$4,"indicador","TOTAL","mes",3,"año",2010)</f>
        <v>0.32987479423355115</v>
      </c>
      <c r="I16" s="204">
        <f>GETPIVOTDATA("dato",'[1]evolucion mensual nacionali'!$A$4,"indicador","IRLANDA","mes",3,"año",2010)/GETPIVOTDATA("dato",'[1]evolucion mensual nacionali'!$A$4,"indicador","TOTAL","mes",3,"año",2010)</f>
        <v>1.7544484746559869E-2</v>
      </c>
      <c r="J16" s="204">
        <f>GETPIVOTDATA("dato",'[1]evolucion mensual nacionali'!$A$4,"indicador","ITALIA","mes",3,"año",2010)/GETPIVOTDATA("dato",'[1]evolucion mensual nacionali'!$A$4,"indicador","TOTAL","mes",3,"año",2010)</f>
        <v>2.3273877815704523E-2</v>
      </c>
      <c r="K16" s="204">
        <f>(GETPIVOTDATA("dato",'[1]evolucion mensual nacionali'!$A$4,"indicador","SUECIA","mes",3,"año",2010)+GETPIVOTDATA("dato",'[1]evolucion mensual nacionali'!$A$4,"indicador","NORUEGA","mes",3,"año",2010)+GETPIVOTDATA("dato",'[1]evolucion mensual nacionali'!$A$4,"indicador","DINAMARCA","mes",3,"año",2010)+GETPIVOTDATA("dato",'[1]evolucion mensual nacionali'!$A$4,"indicador","FINLANDIA","mes",3,"año",2010))/GETPIVOTDATA("dato",'[1]evolucion mensual nacionali'!$A$4,"indicador","TOTAL","mes",3,"año",2010)</f>
        <v>0.11611284909035195</v>
      </c>
      <c r="L16" s="204">
        <f>GETPIVOTDATA("dato",'[1]evolucion mensual nacionali'!$A$4,"indicador","SUECIA","mes",3,"año",2010)/GETPIVOTDATA("dato",'[1]evolucion mensual nacionali'!$A$4,"indicador","TOTAL","mes",3,"año",2010)</f>
        <v>3.5666184466503714E-2</v>
      </c>
      <c r="M16" s="204">
        <f>GETPIVOTDATA("dato",'[1]evolucion mensual nacionali'!$A$4,"indicador","NORUEGA","mes",3,"año",2010)/GETPIVOTDATA("dato",'[1]evolucion mensual nacionali'!$A$4,"indicador","TOTAL","mes",3,"año",2010)</f>
        <v>2.0808243484953217E-2</v>
      </c>
      <c r="N16" s="204">
        <f>GETPIVOTDATA("dato",'[1]evolucion mensual nacionali'!$A$4,"indicador","DINAMARCA","mes",3,"año",2010)/GETPIVOTDATA("dato",'[1]evolucion mensual nacionali'!$A$4,"indicador","TOTAL","mes",3,"año",2010)</f>
        <v>3.2245651290894968E-2</v>
      </c>
      <c r="O16" s="204">
        <f>GETPIVOTDATA("dato",'[1]evolucion mensual nacionali'!$A$4,"indicador","FINLANDIA","mes",3,"año",2010)/GETPIVOTDATA("dato",'[1]evolucion mensual nacionali'!$A$4,"indicador","TOTAL","mes",3,"año",2010)</f>
        <v>2.7392769848000056E-2</v>
      </c>
      <c r="P16" s="204">
        <f>GETPIVOTDATA("dato",'[1]evolucion mensual nacionali'!$A$4,"indicador","SUIZA","mes",3,"año",2010)/GETPIVOTDATA("dato",'[1]evolucion mensual nacionali'!$A$4,"indicador","TOTAL","mes",3,"año",2010)</f>
        <v>7.9669918548553754E-3</v>
      </c>
      <c r="Q16" s="204">
        <f>GETPIVOTDATA("dato",'[1]evolucion mensual nacionali'!$A$4,"indicador","AUSTRIA","mes",3,"año",2010)/GETPIVOTDATA("dato",'[1]evolucion mensual nacionali'!$A$4,"indicador","TOTAL","mes",3,"año",2010)</f>
        <v>8.4230629449365425E-3</v>
      </c>
      <c r="R16" s="204">
        <f>GETPIVOTDATA("dato",'[1]evolucion mensual nacionali'!$A$4,"indicador","RUSIA","mes",3,"año",2010)/GETPIVOTDATA("dato",'[1]evolucion mensual nacionali'!$A$4,"indicador","TOTAL","mes",3,"año",2010)</f>
        <v>2.1499476230857486E-2</v>
      </c>
      <c r="S16" s="204">
        <f>GETPIVOTDATA("dato",'[1]evolucion mensual nacionali'!$A$4,"indicador","PAÍSES DEL ESTE","mes",3,"año",2010)/GETPIVOTDATA("dato",'[1]evolucion mensual nacionali'!$A$4,"indicador","TOTAL","mes",3,"año",2010)</f>
        <v>2.5019774957421487E-2</v>
      </c>
      <c r="T16" s="204">
        <f>GETPIVOTDATA("dato",'[1]evolucion mensual nacionali'!$A$4,"indicador","RESTO DE EUROPA","mes",3,"año",2010)/GETPIVOTDATA("dato",'[1]evolucion mensual nacionali'!$A$4,"indicador","TOTAL","mes",3,"año",2010)</f>
        <v>2.1520854563205041E-2</v>
      </c>
      <c r="U16" s="204">
        <f>GETPIVOTDATA("dato",'[1]evolucion mensual nacionali'!$A$4,"indicador","USA","mes",3,"año",2010)/GETPIVOTDATA("dato",'[1]evolucion mensual nacionali'!$A$4,"indicador","TOTAL","mes",3,"año",2010)</f>
        <v>2.4442559984037514E-3</v>
      </c>
      <c r="V16" s="204">
        <f>GETPIVOTDATA("dato",'[1]evolucion mensual nacionali'!$A$4,"indicador","RESTO DE AMÉRICA","mes",3,"año",2010)/GETPIVOTDATA("dato",'[1]evolucion mensual nacionali'!$A$4,"indicador","TOTAL","mes",3,"año",2010)</f>
        <v>1.5392399290239365E-3</v>
      </c>
      <c r="W16" s="204">
        <f>GETPIVOTDATA("dato",'[1]evolucion mensual nacionali'!$A$4,"indicador","RESTO DEL MUNDO","mes",3,"año",2010)/GETPIVOTDATA("dato",'[1]evolucion mensual nacionali'!$A$4,"indicador","TOTAL","mes",3,"año",2010)</f>
        <v>4.6462242302018827E-3</v>
      </c>
      <c r="X16" s="204">
        <f>(GETPIVOTDATA("dato",'[1]evolucion mensual nacionali'!$A$4,"indicador","TOTAL","mes",3,"año",2010)-GETPIVOTDATA("dato",'[1]evolucion mensual nacionali'!$A$4,"indicador","España","mes",3,"año",2010))/GETPIVOTDATA("dato",'[1]evolucion mensual nacionali'!$A$4,"indicador","TOTAL","mes",3,"año",2010)</f>
        <v>0.82127001546366041</v>
      </c>
      <c r="Y16" s="206">
        <f>GETPIVOTDATA("dato",'[1]evolucion mensual nacionali'!$A$4,"indicador","TOTAL","mes",3,"año",2010)/GETPIVOTDATA("dato",'[1]evolucion mensual nacionali'!$A$4,"indicador","TOTAL","mes",3,"año",2010)</f>
        <v>1</v>
      </c>
    </row>
    <row r="17" spans="2:25">
      <c r="B17" s="51" t="s">
        <v>47</v>
      </c>
      <c r="C17" s="204">
        <f>GETPIVOTDATA("dato",'[1]evolucion mensual nacionali'!$A$4,"indicador","España","mes",2,"año",2010)/GETPIVOTDATA("dato",'[1]evolucion mensual nacionali'!$A$4,"indicador","TOTAL","mes",2,"año",2010)</f>
        <v>0.13982729889410694</v>
      </c>
      <c r="D17" s="204">
        <f>GETPIVOTDATA("dato",'[1]evolucion mensual nacionali'!$A$4,"indicador","HOLANDA","mes",2,"año",2010)/GETPIVOTDATA("dato",'[1]evolucion mensual nacionali'!$A$4,"indicador","TOTAL","mes",2,"año",2010)</f>
        <v>4.3334741945000359E-2</v>
      </c>
      <c r="E17" s="204">
        <f>GETPIVOTDATA("dato",'[1]evolucion mensual nacionali'!$A$4,"indicador","BÉLGICA","mes",2,"año",2010)/GETPIVOTDATA("dato",'[1]evolucion mensual nacionali'!$A$4,"indicador","TOTAL","mes",2,"año",2010)</f>
        <v>4.1923472520112581E-2</v>
      </c>
      <c r="F17" s="204">
        <f>GETPIVOTDATA("dato",'[1]evolucion mensual nacionali'!$A$4,"indicador","ALEMANIA","mes",2,"año",2010)/GETPIVOTDATA("dato",'[1]evolucion mensual nacionali'!$A$4,"indicador","TOTAL","mes",2,"año",2010)</f>
        <v>0.14312026088551177</v>
      </c>
      <c r="G17" s="204">
        <f>GETPIVOTDATA("dato",'[1]evolucion mensual nacionali'!$A$4,"indicador","FRANCIA","mes",2,"año",2010)/GETPIVOTDATA("dato",'[1]evolucion mensual nacionali'!$A$4,"indicador","TOTAL","mes",2,"año",2010)</f>
        <v>3.4763472839043526E-2</v>
      </c>
      <c r="H17" s="204">
        <f>GETPIVOTDATA("dato",'[1]evolucion mensual nacionali'!$A$4,"indicador","REINO UNIDO","mes",2,"año",2010)/GETPIVOTDATA("dato",'[1]evolucion mensual nacionali'!$A$4,"indicador","TOTAL","mes",2,"año",2010)</f>
        <v>0.33615321442524659</v>
      </c>
      <c r="I17" s="204">
        <f>GETPIVOTDATA("dato",'[1]evolucion mensual nacionali'!$A$4,"indicador","IRLANDA","mes",2,"año",2010)/GETPIVOTDATA("dato",'[1]evolucion mensual nacionali'!$A$4,"indicador","TOTAL","mes",2,"año",2010)</f>
        <v>1.7565121712021306E-2</v>
      </c>
      <c r="J17" s="204">
        <f>GETPIVOTDATA("dato",'[1]evolucion mensual nacionali'!$A$4,"indicador","ITALIA","mes",2,"año",2010)/GETPIVOTDATA("dato",'[1]evolucion mensual nacionali'!$A$4,"indicador","TOTAL","mes",2,"año",2010)</f>
        <v>3.1071847168291887E-2</v>
      </c>
      <c r="K17" s="204">
        <f>(GETPIVOTDATA("dato",'[1]evolucion mensual nacionali'!$A$4,"indicador","SUECIA","mes",2,"año",2010)+GETPIVOTDATA("dato",'[1]evolucion mensual nacionali'!$A$4,"indicador","NORUEGA","mes",2,"año",2010)+GETPIVOTDATA("dato",'[1]evolucion mensual nacionali'!$A$4,"indicador","DINAMARCA","mes",2,"año",2010)+GETPIVOTDATA("dato",'[1]evolucion mensual nacionali'!$A$4,"indicador","FINLANDIA","mes",2,"año",2010))/GETPIVOTDATA("dato",'[1]evolucion mensual nacionali'!$A$4,"indicador","TOTAL","mes",2,"año",2010)</f>
        <v>0.12247745556893294</v>
      </c>
      <c r="L17" s="204">
        <f>GETPIVOTDATA("dato",'[1]evolucion mensual nacionali'!$A$4,"indicador","SUECIA","mes",2,"año",2010)/GETPIVOTDATA("dato",'[1]evolucion mensual nacionali'!$A$4,"indicador","TOTAL","mes",2,"año",2010)</f>
        <v>3.6413940471539397E-2</v>
      </c>
      <c r="M17" s="204">
        <f>GETPIVOTDATA("dato",'[1]evolucion mensual nacionali'!$A$4,"indicador","NORUEGA","mes",2,"año",2010)/GETPIVOTDATA("dato",'[1]evolucion mensual nacionali'!$A$4,"indicador","TOTAL","mes",2,"año",2010)</f>
        <v>2.3289932147441777E-2</v>
      </c>
      <c r="N17" s="204">
        <f>GETPIVOTDATA("dato",'[1]evolucion mensual nacionali'!$A$4,"indicador","DINAMARCA","mes",2,"año",2010)/GETPIVOTDATA("dato",'[1]evolucion mensual nacionali'!$A$4,"indicador","TOTAL","mes",2,"año",2010)</f>
        <v>3.6780711056538483E-2</v>
      </c>
      <c r="O17" s="204">
        <f>GETPIVOTDATA("dato",'[1]evolucion mensual nacionali'!$A$4,"indicador","FINLANDIA","mes",2,"año",2010)/GETPIVOTDATA("dato",'[1]evolucion mensual nacionali'!$A$4,"indicador","TOTAL","mes",2,"año",2010)</f>
        <v>2.5992871893413278E-2</v>
      </c>
      <c r="P17" s="204">
        <f>GETPIVOTDATA("dato",'[1]evolucion mensual nacionali'!$A$4,"indicador","SUIZA","mes",2,"año",2010)/GETPIVOTDATA("dato",'[1]evolucion mensual nacionali'!$A$4,"indicador","TOTAL","mes",2,"año",2010)</f>
        <v>7.614476275524442E-3</v>
      </c>
      <c r="Q17" s="204">
        <f>GETPIVOTDATA("dato",'[1]evolucion mensual nacionali'!$A$4,"indicador","AUSTRIA","mes",2,"año",2010)/GETPIVOTDATA("dato",'[1]evolucion mensual nacionali'!$A$4,"indicador","TOTAL","mes",2,"año",2010)</f>
        <v>9.5440084835630972E-3</v>
      </c>
      <c r="R17" s="204">
        <f>GETPIVOTDATA("dato",'[1]evolucion mensual nacionali'!$A$4,"indicador","RUSIA","mes",2,"año",2010)/GETPIVOTDATA("dato",'[1]evolucion mensual nacionali'!$A$4,"indicador","TOTAL","mes",2,"año",2010)</f>
        <v>1.8258796514084789E-2</v>
      </c>
      <c r="S17" s="204">
        <f>GETPIVOTDATA("dato",'[1]evolucion mensual nacionali'!$A$4,"indicador","PAÍSES DEL ESTE","mes",2,"año",2010)/GETPIVOTDATA("dato",'[1]evolucion mensual nacionali'!$A$4,"indicador","TOTAL","mes",2,"año",2010)</f>
        <v>2.5968952072652467E-2</v>
      </c>
      <c r="T17" s="204">
        <f>GETPIVOTDATA("dato",'[1]evolucion mensual nacionali'!$A$4,"indicador","RESTO DE EUROPA","mes",2,"año",2010)/GETPIVOTDATA("dato",'[1]evolucion mensual nacionali'!$A$4,"indicador","TOTAL","mes",2,"año",2010)</f>
        <v>2.0068729618319393E-2</v>
      </c>
      <c r="U17" s="204">
        <f>GETPIVOTDATA("dato",'[1]evolucion mensual nacionali'!$A$4,"indicador","USA","mes",2,"año",2010)/GETPIVOTDATA("dato",'[1]evolucion mensual nacionali'!$A$4,"indicador","TOTAL","mes",2,"año",2010)</f>
        <v>1.4830288871702055E-3</v>
      </c>
      <c r="V17" s="204">
        <f>GETPIVOTDATA("dato",'[1]evolucion mensual nacionali'!$A$4,"indicador","RESTO DE AMÉRICA","mes",2,"año",2010)/GETPIVOTDATA("dato",'[1]evolucion mensual nacionali'!$A$4,"indicador","TOTAL","mes",2,"año",2010)</f>
        <v>1.3474832361922834E-3</v>
      </c>
      <c r="W17" s="204">
        <f>GETPIVOTDATA("dato",'[1]evolucion mensual nacionali'!$A$4,"indicador","RESTO DEL MUNDO","mes",2,"año",2010)/GETPIVOTDATA("dato",'[1]evolucion mensual nacionali'!$A$4,"indicador","TOTAL","mes",2,"año",2010)</f>
        <v>5.4776389542254365E-3</v>
      </c>
      <c r="X17" s="204">
        <f>(GETPIVOTDATA("dato",'[1]evolucion mensual nacionali'!$A$4,"indicador","TOTAL","mes",2,"año",2010)-GETPIVOTDATA("dato",'[1]evolucion mensual nacionali'!$A$4,"indicador","España","mes",2,"año",2010))/GETPIVOTDATA("dato",'[1]evolucion mensual nacionali'!$A$4,"indicador","TOTAL","mes",2,"año",2010)</f>
        <v>0.86017270110589306</v>
      </c>
      <c r="Y17" s="206">
        <f>GETPIVOTDATA("dato",'[1]evolucion mensual nacionali'!$A$4,"indicador","TOTAL","mes",2,"año",2010)/GETPIVOTDATA("dato",'[1]evolucion mensual nacionali'!$A$4,"indicador","TOTAL","mes",2,"año",2010)</f>
        <v>1</v>
      </c>
    </row>
    <row r="18" spans="2:25">
      <c r="B18" s="51" t="s">
        <v>48</v>
      </c>
      <c r="C18" s="204">
        <f>GETPIVOTDATA("dato",'[1]evolucion mensual nacionali'!$A$4,"indicador","España","mes",1,"año",2010)/GETPIVOTDATA("dato",'[1]evolucion mensual nacionali'!$A$4,"indicador","TOTAL","mes",1,"año",2010)</f>
        <v>0.13645590214160275</v>
      </c>
      <c r="D18" s="204">
        <f>GETPIVOTDATA("dato",'[1]evolucion mensual nacionali'!$A$4,"indicador","HOLANDA","mes",1,"año",2010)/GETPIVOTDATA("dato",'[1]evolucion mensual nacionali'!$A$4,"indicador","TOTAL","mes",1,"año",2010)</f>
        <v>3.1755323597162773E-2</v>
      </c>
      <c r="E18" s="204">
        <f>GETPIVOTDATA("dato",'[1]evolucion mensual nacionali'!$A$4,"indicador","BÉLGICA","mes",1,"año",2010)/GETPIVOTDATA("dato",'[1]evolucion mensual nacionali'!$A$4,"indicador","TOTAL","mes",1,"año",2010)</f>
        <v>4.6960170902483715E-2</v>
      </c>
      <c r="F18" s="204">
        <f>GETPIVOTDATA("dato",'[1]evolucion mensual nacionali'!$A$4,"indicador","ALEMANIA","mes",1,"año",2010)/GETPIVOTDATA("dato",'[1]evolucion mensual nacionali'!$A$4,"indicador","TOTAL","mes",1,"año",2010)</f>
        <v>0.15240578696488441</v>
      </c>
      <c r="G18" s="204">
        <f>GETPIVOTDATA("dato",'[1]evolucion mensual nacionali'!$A$4,"indicador","FRANCIA","mes",1,"año",2010)/GETPIVOTDATA("dato",'[1]evolucion mensual nacionali'!$A$4,"indicador","TOTAL","mes",1,"año",2010)</f>
        <v>2.8592715357656021E-2</v>
      </c>
      <c r="H18" s="204">
        <f>GETPIVOTDATA("dato",'[1]evolucion mensual nacionali'!$A$4,"indicador","REINO UNIDO","mes",1,"año",2010)/GETPIVOTDATA("dato",'[1]evolucion mensual nacionali'!$A$4,"indicador","TOTAL","mes",1,"año",2010)</f>
        <v>0.31786493534138682</v>
      </c>
      <c r="I18" s="204">
        <f>GETPIVOTDATA("dato",'[1]evolucion mensual nacionali'!$A$4,"indicador","IRLANDA","mes",1,"año",2010)/GETPIVOTDATA("dato",'[1]evolucion mensual nacionali'!$A$4,"indicador","TOTAL","mes",1,"año",2010)</f>
        <v>1.8960444589735208E-2</v>
      </c>
      <c r="J18" s="204">
        <f>GETPIVOTDATA("dato",'[1]evolucion mensual nacionali'!$A$4,"indicador","ITALIA","mes",1,"año",2010)/GETPIVOTDATA("dato",'[1]evolucion mensual nacionali'!$A$4,"indicador","TOTAL","mes",1,"año",2010)</f>
        <v>3.8810372746831689E-2</v>
      </c>
      <c r="K18" s="204">
        <f>(GETPIVOTDATA("dato",'[1]evolucion mensual nacionali'!$A$4,"indicador","SUECIA","mes",1,"año",2010)+GETPIVOTDATA("dato",'[1]evolucion mensual nacionali'!$A$4,"indicador","NORUEGA","mes",1,"año",2010)+GETPIVOTDATA("dato",'[1]evolucion mensual nacionali'!$A$4,"indicador","DINAMARCA","mes",1,"año",2010)+GETPIVOTDATA("dato",'[1]evolucion mensual nacionali'!$A$4,"indicador","FINLANDIA","mes",1,"año",2010))/GETPIVOTDATA("dato",'[1]evolucion mensual nacionali'!$A$4,"indicador","TOTAL","mes",1,"año",2010)</f>
        <v>0.13114941043204573</v>
      </c>
      <c r="L18" s="204">
        <f>GETPIVOTDATA("dato",'[1]evolucion mensual nacionali'!$A$4,"indicador","SUECIA","mes",1,"año",2010)/GETPIVOTDATA("dato",'[1]evolucion mensual nacionali'!$A$4,"indicador","TOTAL","mes",1,"año",2010)</f>
        <v>4.5614541915962807E-2</v>
      </c>
      <c r="M18" s="204">
        <f>GETPIVOTDATA("dato",'[1]evolucion mensual nacionali'!$A$4,"indicador","NORUEGA","mes",1,"año",2010)/GETPIVOTDATA("dato",'[1]evolucion mensual nacionali'!$A$4,"indicador","TOTAL","mes",1,"año",2010)</f>
        <v>2.307335578582452E-2</v>
      </c>
      <c r="N18" s="204">
        <f>GETPIVOTDATA("dato",'[1]evolucion mensual nacionali'!$A$4,"indicador","DINAMARCA","mes",1,"año",2010)/GETPIVOTDATA("dato",'[1]evolucion mensual nacionali'!$A$4,"indicador","TOTAL","mes",1,"año",2010)</f>
        <v>3.542729422139778E-2</v>
      </c>
      <c r="O18" s="204">
        <f>GETPIVOTDATA("dato",'[1]evolucion mensual nacionali'!$A$4,"indicador","FINLANDIA","mes",1,"año",2010)/GETPIVOTDATA("dato",'[1]evolucion mensual nacionali'!$A$4,"indicador","TOTAL","mes",1,"año",2010)</f>
        <v>2.7034218508860626E-2</v>
      </c>
      <c r="P18" s="204">
        <f>GETPIVOTDATA("dato",'[1]evolucion mensual nacionali'!$A$4,"indicador","SUIZA","mes",1,"año",2010)/GETPIVOTDATA("dato",'[1]evolucion mensual nacionali'!$A$4,"indicador","TOTAL","mes",1,"año",2010)</f>
        <v>7.1842903517641424E-3</v>
      </c>
      <c r="Q18" s="204">
        <f>GETPIVOTDATA("dato",'[1]evolucion mensual nacionali'!$A$4,"indicador","AUSTRIA","mes",1,"año",2010)/GETPIVOTDATA("dato",'[1]evolucion mensual nacionali'!$A$4,"indicador","TOTAL","mes",1,"año",2010)</f>
        <v>1.1684925154139139E-2</v>
      </c>
      <c r="R18" s="204">
        <f>GETPIVOTDATA("dato",'[1]evolucion mensual nacionali'!$A$4,"indicador","RUSIA","mes",1,"año",2010)/GETPIVOTDATA("dato",'[1]evolucion mensual nacionali'!$A$4,"indicador","TOTAL","mes",1,"año",2010)</f>
        <v>2.7543580893588875E-2</v>
      </c>
      <c r="S18" s="204">
        <f>GETPIVOTDATA("dato",'[1]evolucion mensual nacionali'!$A$4,"indicador","PAÍSES DEL ESTE","mes",1,"año",2010)/GETPIVOTDATA("dato",'[1]evolucion mensual nacionali'!$A$4,"indicador","TOTAL","mes",1,"año",2010)</f>
        <v>2.5179227137611469E-2</v>
      </c>
      <c r="T18" s="204">
        <f>GETPIVOTDATA("dato",'[1]evolucion mensual nacionali'!$A$4,"indicador","RESTO DE EUROPA","mes",1,"año",2010)/GETPIVOTDATA("dato",'[1]evolucion mensual nacionali'!$A$4,"indicador","TOTAL","mes",1,"año",2010)</f>
        <v>1.8549913712491543E-2</v>
      </c>
      <c r="U18" s="204">
        <f>GETPIVOTDATA("dato",'[1]evolucion mensual nacionali'!$A$4,"indicador","USA","mes",1,"año",2010)/GETPIVOTDATA("dato",'[1]evolucion mensual nacionali'!$A$4,"indicador","TOTAL","mes",1,"año",2010)</f>
        <v>1.398845952089526E-3</v>
      </c>
      <c r="V18" s="204">
        <f>GETPIVOTDATA("dato",'[1]evolucion mensual nacionali'!$A$4,"indicador","RESTO DE AMÉRICA","mes",1,"año",2010)/GETPIVOTDATA("dato",'[1]evolucion mensual nacionali'!$A$4,"indicador","TOTAL","mes",1,"año",2010)</f>
        <v>1.7561598637645681E-3</v>
      </c>
      <c r="W18" s="204">
        <f>GETPIVOTDATA("dato",'[1]evolucion mensual nacionali'!$A$4,"indicador","RESTO DEL MUNDO","mes",1,"año",2010)/GETPIVOTDATA("dato",'[1]evolucion mensual nacionali'!$A$4,"indicador","TOTAL","mes",1,"año",2010)</f>
        <v>3.747994860761611E-3</v>
      </c>
      <c r="X18" s="204">
        <f>(GETPIVOTDATA("dato",'[1]evolucion mensual nacionali'!$A$4,"indicador","TOTAL","mes",1,"año",2010)-GETPIVOTDATA("dato",'[1]evolucion mensual nacionali'!$A$4,"indicador","España","mes",1,"año",2010))/GETPIVOTDATA("dato",'[1]evolucion mensual nacionali'!$A$4,"indicador","TOTAL","mes",1,"año",2010)</f>
        <v>0.86354409785839725</v>
      </c>
      <c r="Y18" s="206">
        <f>GETPIVOTDATA("dato",'[1]evolucion mensual nacionali'!$A$4,"indicador","TOTAL","mes",1,"año",2010)/GETPIVOTDATA("dato",'[1]evolucion mensual nacionali'!$A$4,"indicador","TOTAL","mes",1,"año",2010)</f>
        <v>1</v>
      </c>
    </row>
    <row r="19" spans="2:25" ht="24">
      <c r="B19" s="296" t="s">
        <v>54</v>
      </c>
      <c r="C19" s="209">
        <f>GETPIVOTDATA("dato",'[1]evolucion mensual nacionali'!$A$4,"indicador","España","año",2010)/GETPIVOTDATA("dato",'[1]evolucion mensual nacionali'!$A$4,"indicador","TOTAL","año",2010)</f>
        <v>0.222255827474269</v>
      </c>
      <c r="D19" s="209">
        <f>GETPIVOTDATA("dato",'[1]evolucion mensual nacionali'!$A$4,"indicador","HOLANDA","año",2010)/GETPIVOTDATA("dato",'[1]evolucion mensual nacionali'!$A$4,"indicador","TOTAL","año",2010)</f>
        <v>3.4631234015508598E-2</v>
      </c>
      <c r="E19" s="209">
        <f>GETPIVOTDATA("dato",'[1]evolucion mensual nacionali'!$A$4,"indicador","BÉLGICA","año",2010)/GETPIVOTDATA("dato",'[1]evolucion mensual nacionali'!$A$4,"indicador","TOTAL","año",2010)</f>
        <v>3.8996283781367408E-2</v>
      </c>
      <c r="F19" s="209">
        <f>GETPIVOTDATA("dato",'[1]evolucion mensual nacionali'!$A$4,"indicador","ALEMANIA","año",2010)/GETPIVOTDATA("dato",'[1]evolucion mensual nacionali'!$A$4,"indicador","TOTAL","año",2010)</f>
        <v>0.13530836849112532</v>
      </c>
      <c r="G19" s="209">
        <f>GETPIVOTDATA("dato",'[1]evolucion mensual nacionali'!$A$4,"indicador","FRANCIA","año",2010)/GETPIVOTDATA("dato",'[1]evolucion mensual nacionali'!$A$4,"indicador","TOTAL","año",2010)</f>
        <v>2.5276826102016689E-2</v>
      </c>
      <c r="H19" s="209">
        <f>GETPIVOTDATA("dato",'[1]evolucion mensual nacionali'!$A$4,"indicador","REINO UNIDO","año",2010)/GETPIVOTDATA("dato",'[1]evolucion mensual nacionali'!$A$4,"indicador","TOTAL","año",2010)</f>
        <v>0.33226386889319626</v>
      </c>
      <c r="I19" s="209">
        <f>GETPIVOTDATA("dato",'[1]evolucion mensual nacionali'!$A$4,"indicador","IRLANDA","año",2010)/GETPIVOTDATA("dato",'[1]evolucion mensual nacionali'!$A$4,"indicador","TOTAL","año",2010)</f>
        <v>1.6004160693503411E-2</v>
      </c>
      <c r="J19" s="209">
        <f>GETPIVOTDATA("dato",'[1]evolucion mensual nacionali'!$A$4,"indicador","ITALIA","año",2010)/GETPIVOTDATA("dato",'[1]evolucion mensual nacionali'!$A$4,"indicador","TOTAL","año",2010)</f>
        <v>2.4134474594940343E-2</v>
      </c>
      <c r="K19" s="209">
        <f>(GETPIVOTDATA("dato",'[1]evolucion mensual nacionali'!$A$4,"indicador","SUECIA","año",2010)+GETPIVOTDATA("dato",'[1]evolucion mensual nacionali'!$A$4,"indicador","NORUEGA","año",2010)+GETPIVOTDATA("dato",'[1]evolucion mensual nacionali'!$A$4,"indicador","DINAMARCA","año",2010)+GETPIVOTDATA("dato",'[1]evolucion mensual nacionali'!$A$4,"indicador","FINLANDIA","año",2010))/GETPIVOTDATA("dato",'[1]evolucion mensual nacionali'!$A$4,"indicador","TOTAL","año",2010)</f>
        <v>6.4963834050453514E-2</v>
      </c>
      <c r="L19" s="209">
        <f>GETPIVOTDATA("dato",'[1]evolucion mensual nacionali'!$A$4,"indicador","SUECIA","año",2010)/GETPIVOTDATA("dato",'[1]evolucion mensual nacionali'!$A$4,"indicador","TOTAL","año",2010)</f>
        <v>2.2094999095723537E-2</v>
      </c>
      <c r="M19" s="209">
        <f>GETPIVOTDATA("dato",'[1]evolucion mensual nacionali'!$A$4,"indicador","NORUEGA","año",2010)/GETPIVOTDATA("dato",'[1]evolucion mensual nacionali'!$A$4,"indicador","TOTAL","año",2010)</f>
        <v>1.2132631301453076E-2</v>
      </c>
      <c r="N19" s="209">
        <f>GETPIVOTDATA("dato",'[1]evolucion mensual nacionali'!$A$4,"indicador","DINAMARCA","año",2010)/GETPIVOTDATA("dato",'[1]evolucion mensual nacionali'!$A$4,"indicador","TOTAL","año",2010)</f>
        <v>1.8190772701681748E-2</v>
      </c>
      <c r="O19" s="209">
        <f>GETPIVOTDATA("dato",'[1]evolucion mensual nacionali'!$A$4,"indicador","FINLANDIA","año",2010)/GETPIVOTDATA("dato",'[1]evolucion mensual nacionali'!$A$4,"indicador","TOTAL","año",2010)</f>
        <v>1.2545430951595153E-2</v>
      </c>
      <c r="P19" s="209">
        <f>GETPIVOTDATA("dato",'[1]evolucion mensual nacionali'!$A$4,"indicador","SUIZA","año",2010)/GETPIVOTDATA("dato",'[1]evolucion mensual nacionali'!$A$4,"indicador","TOTAL","año",2010)</f>
        <v>7.4978312691647859E-3</v>
      </c>
      <c r="Q19" s="209">
        <f>GETPIVOTDATA("dato",'[1]evolucion mensual nacionali'!$A$4,"indicador","AUSTRIA","año",2010)/GETPIVOTDATA("dato",'[1]evolucion mensual nacionali'!$A$4,"indicador","TOTAL","año",2010)</f>
        <v>8.2059257185421626E-3</v>
      </c>
      <c r="R19" s="209">
        <f>GETPIVOTDATA("dato",'[1]evolucion mensual nacionali'!$A$4,"indicador","RUSIA","año",2010)/GETPIVOTDATA("dato",'[1]evolucion mensual nacionali'!$A$4,"indicador","TOTAL","año",2010)</f>
        <v>2.8232839438306376E-2</v>
      </c>
      <c r="S19" s="209">
        <f>GETPIVOTDATA("dato",'[1]evolucion mensual nacionali'!$A$4,"indicador","PAÍSES DEL ESTE","año",2010)/GETPIVOTDATA("dato",'[1]evolucion mensual nacionali'!$A$4,"indicador","TOTAL","año",2010)</f>
        <v>2.734695504060048E-2</v>
      </c>
      <c r="T19" s="209">
        <f>GETPIVOTDATA("dato",'[1]evolucion mensual nacionali'!$A$4,"indicador","RESTO DE EUROPA","año",2010)/GETPIVOTDATA("dato",'[1]evolucion mensual nacionali'!$A$4,"indicador","TOTAL","año",2010)</f>
        <v>2.426934972815508E-2</v>
      </c>
      <c r="U19" s="209">
        <f>GETPIVOTDATA("dato",'[1]evolucion mensual nacionali'!$A$4,"indicador","USA","año",2010)/GETPIVOTDATA("dato",'[1]evolucion mensual nacionali'!$A$4,"indicador","TOTAL","año",2010)</f>
        <v>1.9618201194871068E-3</v>
      </c>
      <c r="V19" s="209">
        <f>GETPIVOTDATA("dato",'[1]evolucion mensual nacionali'!$A$4,"indicador","RESTO DE AMÉRICA","año",2010)/GETPIVOTDATA("dato",'[1]evolucion mensual nacionali'!$A$4,"indicador","TOTAL","año",2010)</f>
        <v>1.7186361671756841E-3</v>
      </c>
      <c r="W19" s="209">
        <f>GETPIVOTDATA("dato",'[1]evolucion mensual nacionali'!$A$4,"indicador","RESTO DEL MUNDO","año",2010)/GETPIVOTDATA("dato",'[1]evolucion mensual nacionali'!$A$4,"indicador","TOTAL","año",2010)</f>
        <v>6.9317644221877769E-3</v>
      </c>
      <c r="X19" s="209">
        <f>(GETPIVOTDATA("dato",'[1]evolucion mensual nacionali'!$A$4,"indicador","TOTAL","año",2010)-GETPIVOTDATA("dato",'[1]evolucion mensual nacionali'!$A$4,"indicador","España","año",2010))/GETPIVOTDATA("dato",'[1]evolucion mensual nacionali'!$A$4,"indicador","TOTAL","año",2010)</f>
        <v>0.77774417252573103</v>
      </c>
      <c r="Y19" s="297">
        <f>GETPIVOTDATA("dato",'[1]evolucion mensual nacionali'!$A$4,"indicador","TOTAL","año",2010)/GETPIVOTDATA("dato",'[1]evolucion mensual nacionali'!$A$4,"indicador","TOTAL","año",2010)</f>
        <v>1</v>
      </c>
    </row>
    <row r="20" spans="2:25" ht="15" hidden="1" customHeight="1" outlineLevel="1">
      <c r="B20" s="51" t="s">
        <v>37</v>
      </c>
      <c r="C20" s="204">
        <f>GETPIVOTDATA("dato",'[1]evolucion mensual nacionali'!$A$4,"indicador","España","mes",12,"año",2009)/GETPIVOTDATA("dato",'[1]evolucion mensual nacionali'!$A$4,"indicador","TOTAL","mes",12,"año",2009)</f>
        <v>0.18200540610117133</v>
      </c>
      <c r="D20" s="204">
        <f>GETPIVOTDATA("dato",'[1]evolucion mensual nacionali'!$A$4,"indicador","HOLANDA","mes",12,"año",2009)/GETPIVOTDATA("dato",'[1]evolucion mensual nacionali'!$A$4,"indicador","TOTAL","mes",12,"año",2009)</f>
        <v>3.0361996774511065E-2</v>
      </c>
      <c r="E20" s="204">
        <f>GETPIVOTDATA("dato",'[1]evolucion mensual nacionali'!$A$4,"indicador","BÉLGICA","mes",12,"año",2009)/GETPIVOTDATA("dato",'[1]evolucion mensual nacionali'!$A$4,"indicador","TOTAL","mes",12,"año",2009)</f>
        <v>4.553542359149864E-2</v>
      </c>
      <c r="F20" s="204">
        <f>GETPIVOTDATA("dato",'[1]evolucion mensual nacionali'!$A$4,"indicador","ALEMANIA","mes",12,"año",2009)/GETPIVOTDATA("dato",'[1]evolucion mensual nacionali'!$A$4,"indicador","TOTAL","mes",12,"año",2009)</f>
        <v>0.13755271705799066</v>
      </c>
      <c r="G20" s="204">
        <f>GETPIVOTDATA("dato",'[1]evolucion mensual nacionali'!$A$4,"indicador","FRANCIA","mes",12,"año",2009)/GETPIVOTDATA("dato",'[1]evolucion mensual nacionali'!$A$4,"indicador","TOTAL","mes",12,"año",2009)</f>
        <v>2.184398022305846E-2</v>
      </c>
      <c r="H20" s="204">
        <f>GETPIVOTDATA("dato",'[1]evolucion mensual nacionali'!$A$4,"indicador","REINO UNIDO","mes",12,"año",2009)/GETPIVOTDATA("dato",'[1]evolucion mensual nacionali'!$A$4,"indicador","TOTAL","mes",12,"año",2009)</f>
        <v>0.34680820455354233</v>
      </c>
      <c r="I20" s="204">
        <f>GETPIVOTDATA("dato",'[1]evolucion mensual nacionali'!$A$4,"indicador","IRLANDA","mes",12,"año",2009)/GETPIVOTDATA("dato",'[1]evolucion mensual nacionali'!$A$4,"indicador","TOTAL","mes",12,"año",2009)</f>
        <v>1.4264838384832631E-2</v>
      </c>
      <c r="J20" s="204">
        <f>GETPIVOTDATA("dato",'[1]evolucion mensual nacionali'!$A$4,"indicador","ITALIA","mes",12,"año",2009)/GETPIVOTDATA("dato",'[1]evolucion mensual nacionali'!$A$4,"indicador","TOTAL","mes",12,"año",2009)</f>
        <v>2.2957001052448266E-2</v>
      </c>
      <c r="K20" s="204">
        <f>(GETPIVOTDATA("dato",'[1]evolucion mensual nacionali'!$A$4,"indicador","SUECIA","mes",12,"año",2009)+GETPIVOTDATA("dato",'[1]evolucion mensual nacionali'!$A$4,"indicador","NORUEGA","mes",12,"año",2009)+GETPIVOTDATA("dato",'[1]evolucion mensual nacionali'!$A$4,"indicador","DINAMARCA","mes",12,"año",2009)+GETPIVOTDATA("dato",'[1]evolucion mensual nacionali'!$A$4,"indicador","FINLANDIA","mes",12,"año",2009))/GETPIVOTDATA("dato",'[1]evolucion mensual nacionali'!$A$4,"indicador","TOTAL","mes",12,"año",2009)</f>
        <v>0.11067364260674022</v>
      </c>
      <c r="L20" s="204">
        <f>GETPIVOTDATA("dato",'[1]evolucion mensual nacionali'!$A$4,"indicador","SUECIA","mes",12,"año",2009)/GETPIVOTDATA("dato",'[1]evolucion mensual nacionali'!$A$4,"indicador","TOTAL","mes",12,"año",2009)</f>
        <v>4.0432185230895035E-2</v>
      </c>
      <c r="M20" s="204">
        <f>GETPIVOTDATA("dato",'[1]evolucion mensual nacionali'!$A$4,"indicador","NORUEGA","mes",12,"año",2009)/GETPIVOTDATA("dato",'[1]evolucion mensual nacionali'!$A$4,"indicador","TOTAL","mes",12,"año",2009)</f>
        <v>1.935293360490032E-2</v>
      </c>
      <c r="N20" s="204">
        <f>GETPIVOTDATA("dato",'[1]evolucion mensual nacionali'!$A$4,"indicador","DINAMARCA","mes",12,"año",2009)/GETPIVOTDATA("dato",'[1]evolucion mensual nacionali'!$A$4,"indicador","TOTAL","mes",12,"año",2009)</f>
        <v>2.4244167998001106E-2</v>
      </c>
      <c r="O20" s="204">
        <f>GETPIVOTDATA("dato",'[1]evolucion mensual nacionali'!$A$4,"indicador","FINLANDIA","mes",12,"año",2009)/GETPIVOTDATA("dato",'[1]evolucion mensual nacionali'!$A$4,"indicador","TOTAL","mes",12,"año",2009)</f>
        <v>2.6644355772943752E-2</v>
      </c>
      <c r="P20" s="204">
        <f>GETPIVOTDATA("dato",'[1]evolucion mensual nacionali'!$A$4,"indicador","SUIZA","mes",12,"año",2009)/GETPIVOTDATA("dato",'[1]evolucion mensual nacionali'!$A$4,"indicador","TOTAL","mes",12,"año",2009)</f>
        <v>6.6402671249990537E-3</v>
      </c>
      <c r="Q20" s="204">
        <f>GETPIVOTDATA("dato",'[1]evolucion mensual nacionali'!$A$4,"indicador","AUSTRIA","mes",12,"año",2009)/GETPIVOTDATA("dato",'[1]evolucion mensual nacionali'!$A$4,"indicador","TOTAL","mes",12,"año",2009)</f>
        <v>8.7905930810990886E-3</v>
      </c>
      <c r="R20" s="204">
        <f>GETPIVOTDATA("dato",'[1]evolucion mensual nacionali'!$A$4,"indicador","RUSIA","mes",12,"año",2009)/GETPIVOTDATA("dato",'[1]evolucion mensual nacionali'!$A$4,"indicador","TOTAL","mes",12,"año",2009)</f>
        <v>2.0420525012682381E-2</v>
      </c>
      <c r="S20" s="204">
        <f>GETPIVOTDATA("dato",'[1]evolucion mensual nacionali'!$A$4,"indicador","PAÍSES DEL ESTE","mes",12,"año",2009)/GETPIVOTDATA("dato",'[1]evolucion mensual nacionali'!$A$4,"indicador","TOTAL","mes",12,"año",2009)</f>
        <v>2.6485352797316637E-2</v>
      </c>
      <c r="T20" s="204">
        <f>GETPIVOTDATA("dato",'[1]evolucion mensual nacionali'!$A$4,"indicador","RESTO DE EUROPA","mes",12,"año",2009)/GETPIVOTDATA("dato",'[1]evolucion mensual nacionali'!$A$4,"indicador","TOTAL","mes",12,"año",2009)</f>
        <v>1.8595776578104534E-2</v>
      </c>
      <c r="U20" s="204">
        <f>GETPIVOTDATA("dato",'[1]evolucion mensual nacionali'!$A$4,"indicador","USA","mes",12,"año",2009)/GETPIVOTDATA("dato",'[1]evolucion mensual nacionali'!$A$4,"indicador","TOTAL","mes",12,"año",2009)</f>
        <v>1.9383219885972152E-3</v>
      </c>
      <c r="V20" s="204">
        <f>GETPIVOTDATA("dato",'[1]evolucion mensual nacionali'!$A$4,"indicador","RESTO DE AMÉRICA","mes",12,"año",2009)/GETPIVOTDATA("dato",'[1]evolucion mensual nacionali'!$A$4,"indicador","TOTAL","mes",12,"año",2009)</f>
        <v>1.5748866157352373E-3</v>
      </c>
      <c r="W20" s="204">
        <f>GETPIVOTDATA("dato",'[1]evolucion mensual nacionali'!$A$4,"indicador","RESTO DEL MUNDO","mes",12,"año",2009)/GETPIVOTDATA("dato",'[1]evolucion mensual nacionali'!$A$4,"indicador","TOTAL","mes",12,"año",2009)</f>
        <v>3.551066455672242E-3</v>
      </c>
      <c r="X20" s="204">
        <f>(GETPIVOTDATA("dato",'[1]evolucion mensual nacionali'!$A$4,"indicador","TOTAL","mes",12,"año",2009)-GETPIVOTDATA("dato",'[1]evolucion mensual nacionali'!$A$4,"indicador","España","mes",12,"año",2009))/GETPIVOTDATA("dato",'[1]evolucion mensual nacionali'!$A$4,"indicador","TOTAL","mes",12,"año",2009)</f>
        <v>0.81799459389882867</v>
      </c>
      <c r="Y20" s="206">
        <f>GETPIVOTDATA("dato",'[1]evolucion mensual nacionali'!$A$4,"indicador","TOTAL","mes",12,"año",2009)/GETPIVOTDATA("dato",'[1]evolucion mensual nacionali'!$A$4,"indicador","TOTAL","mes",12,"año",2009)</f>
        <v>1</v>
      </c>
    </row>
    <row r="21" spans="2:25" ht="15" hidden="1" customHeight="1" outlineLevel="1">
      <c r="B21" s="51" t="s">
        <v>38</v>
      </c>
      <c r="C21" s="204">
        <f>GETPIVOTDATA("dato",'[1]evolucion mensual nacionali'!$A$4,"indicador","España","mes",11,"año",2009)/GETPIVOTDATA("dato",'[1]evolucion mensual nacionali'!$A$4,"indicador","TOTAL","mes",11,"año",2009)</f>
        <v>0.14030571321625276</v>
      </c>
      <c r="D21" s="204">
        <f>GETPIVOTDATA("dato",'[1]evolucion mensual nacionali'!$A$4,"indicador","HOLANDA","mes",11,"año",2009)/GETPIVOTDATA("dato",'[1]evolucion mensual nacionali'!$A$4,"indicador","TOTAL","mes",11,"año",2009)</f>
        <v>3.0151176025728189E-2</v>
      </c>
      <c r="E21" s="204">
        <f>GETPIVOTDATA("dato",'[1]evolucion mensual nacionali'!$A$4,"indicador","BÉLGICA","mes",11,"año",2009)/GETPIVOTDATA("dato",'[1]evolucion mensual nacionali'!$A$4,"indicador","TOTAL","mes",11,"año",2009)</f>
        <v>4.617782089575042E-2</v>
      </c>
      <c r="F21" s="204">
        <f>GETPIVOTDATA("dato",'[1]evolucion mensual nacionali'!$A$4,"indicador","ALEMANIA","mes",11,"año",2009)/GETPIVOTDATA("dato",'[1]evolucion mensual nacionali'!$A$4,"indicador","TOTAL","mes",11,"año",2009)</f>
        <v>0.16423109535777308</v>
      </c>
      <c r="G21" s="204">
        <f>GETPIVOTDATA("dato",'[1]evolucion mensual nacionali'!$A$4,"indicador","FRANCIA","mes",11,"año",2009)/GETPIVOTDATA("dato",'[1]evolucion mensual nacionali'!$A$4,"indicador","TOTAL","mes",11,"año",2009)</f>
        <v>2.1351035467927614E-2</v>
      </c>
      <c r="H21" s="204">
        <f>GETPIVOTDATA("dato",'[1]evolucion mensual nacionali'!$A$4,"indicador","REINO UNIDO","mes",11,"año",2009)/GETPIVOTDATA("dato",'[1]evolucion mensual nacionali'!$A$4,"indicador","TOTAL","mes",11,"año",2009)</f>
        <v>0.34171587462855307</v>
      </c>
      <c r="I21" s="204">
        <f>GETPIVOTDATA("dato",'[1]evolucion mensual nacionali'!$A$4,"indicador","IRLANDA","mes",11,"año",2009)/GETPIVOTDATA("dato",'[1]evolucion mensual nacionali'!$A$4,"indicador","TOTAL","mes",11,"año",2009)</f>
        <v>1.803570473695066E-2</v>
      </c>
      <c r="J21" s="204">
        <f>GETPIVOTDATA("dato",'[1]evolucion mensual nacionali'!$A$4,"indicador","ITALIA","mes",11,"año",2009)/GETPIVOTDATA("dato",'[1]evolucion mensual nacionali'!$A$4,"indicador","TOTAL","mes",11,"año",2009)</f>
        <v>1.6553736622182159E-2</v>
      </c>
      <c r="K21" s="204">
        <f>(GETPIVOTDATA("dato",'[1]evolucion mensual nacionali'!$A$4,"indicador","SUECIA","mes",11,"año",2009)+GETPIVOTDATA("dato",'[1]evolucion mensual nacionali'!$A$4,"indicador","NORUEGA","mes",11,"año",2009)+GETPIVOTDATA("dato",'[1]evolucion mensual nacionali'!$A$4,"indicador","DINAMARCA","mes",11,"año",2009)+GETPIVOTDATA("dato",'[1]evolucion mensual nacionali'!$A$4,"indicador","FINLANDIA","mes",11,"año",2009))/GETPIVOTDATA("dato",'[1]evolucion mensual nacionali'!$A$4,"indicador","TOTAL","mes",11,"año",2009)</f>
        <v>0.1316736308982713</v>
      </c>
      <c r="L21" s="204">
        <f>GETPIVOTDATA("dato",'[1]evolucion mensual nacionali'!$A$4,"indicador","SUECIA","mes",11,"año",2009)/GETPIVOTDATA("dato",'[1]evolucion mensual nacionali'!$A$4,"indicador","TOTAL","mes",11,"año",2009)</f>
        <v>4.1349966006401492E-2</v>
      </c>
      <c r="M21" s="204">
        <f>GETPIVOTDATA("dato",'[1]evolucion mensual nacionali'!$A$4,"indicador","NORUEGA","mes",11,"año",2009)/GETPIVOTDATA("dato",'[1]evolucion mensual nacionali'!$A$4,"indicador","TOTAL","mes",11,"año",2009)</f>
        <v>3.0892160083112439E-2</v>
      </c>
      <c r="N21" s="204">
        <f>GETPIVOTDATA("dato",'[1]evolucion mensual nacionali'!$A$4,"indicador","DINAMARCA","mes",11,"año",2009)/GETPIVOTDATA("dato",'[1]evolucion mensual nacionali'!$A$4,"indicador","TOTAL","mes",11,"año",2009)</f>
        <v>2.7767804624657201E-2</v>
      </c>
      <c r="O21" s="204">
        <f>GETPIVOTDATA("dato",'[1]evolucion mensual nacionali'!$A$4,"indicador","FINLANDIA","mes",11,"año",2009)/GETPIVOTDATA("dato",'[1]evolucion mensual nacionali'!$A$4,"indicador","TOTAL","mes",11,"año",2009)</f>
        <v>3.1663700184100162E-2</v>
      </c>
      <c r="P21" s="204">
        <f>GETPIVOTDATA("dato",'[1]evolucion mensual nacionali'!$A$4,"indicador","SUIZA","mes",11,"año",2009)/GETPIVOTDATA("dato",'[1]evolucion mensual nacionali'!$A$4,"indicador","TOTAL","mes",11,"año",2009)</f>
        <v>9.2355641791500836E-3</v>
      </c>
      <c r="Q21" s="204">
        <f>GETPIVOTDATA("dato",'[1]evolucion mensual nacionali'!$A$4,"indicador","AUSTRIA","mes",11,"año",2009)/GETPIVOTDATA("dato",'[1]evolucion mensual nacionali'!$A$4,"indicador","TOTAL","mes",11,"año",2009)</f>
        <v>1.0572391086802082E-2</v>
      </c>
      <c r="R21" s="204">
        <f>GETPIVOTDATA("dato",'[1]evolucion mensual nacionali'!$A$4,"indicador","RUSIA","mes",11,"año",2009)/GETPIVOTDATA("dato",'[1]evolucion mensual nacionali'!$A$4,"indicador","TOTAL","mes",11,"año",2009)</f>
        <v>2.1205894260811112E-2</v>
      </c>
      <c r="S21" s="204">
        <f>GETPIVOTDATA("dato",'[1]evolucion mensual nacionali'!$A$4,"indicador","PAÍSES DEL ESTE","mes",11,"año",2009)/GETPIVOTDATA("dato",'[1]evolucion mensual nacionali'!$A$4,"indicador","TOTAL","mes",11,"año",2009)</f>
        <v>2.188576623098841E-2</v>
      </c>
      <c r="T21" s="204">
        <f>GETPIVOTDATA("dato",'[1]evolucion mensual nacionali'!$A$4,"indicador","RESTO DE EUROPA","mes",11,"año",2009)/GETPIVOTDATA("dato",'[1]evolucion mensual nacionali'!$A$4,"indicador","TOTAL","mes",11,"año",2009)</f>
        <v>2.1817015132880594E-2</v>
      </c>
      <c r="U21" s="204">
        <f>GETPIVOTDATA("dato",'[1]evolucion mensual nacionali'!$A$4,"indicador","USA","mes",11,"año",2009)/GETPIVOTDATA("dato",'[1]evolucion mensual nacionali'!$A$4,"indicador","TOTAL","mes",11,"año",2009)</f>
        <v>9.9307141711291224E-4</v>
      </c>
      <c r="V21" s="204">
        <f>GETPIVOTDATA("dato",'[1]evolucion mensual nacionali'!$A$4,"indicador","RESTO DE AMÉRICA","mes",11,"año",2009)/GETPIVOTDATA("dato",'[1]evolucion mensual nacionali'!$A$4,"indicador","TOTAL","mes",11,"año",2009)</f>
        <v>1.2680758095441802E-3</v>
      </c>
      <c r="W21" s="204">
        <f>GETPIVOTDATA("dato",'[1]evolucion mensual nacionali'!$A$4,"indicador","RESTO DEL MUNDO","mes",11,"año",2009)/GETPIVOTDATA("dato",'[1]evolucion mensual nacionali'!$A$4,"indicador","TOTAL","mes",11,"año",2009)</f>
        <v>2.8264340333213657E-3</v>
      </c>
      <c r="X21" s="204">
        <f>(GETPIVOTDATA("dato",'[1]evolucion mensual nacionali'!$A$4,"indicador","TOTAL","mes",11,"año",2009)-GETPIVOTDATA("dato",'[1]evolucion mensual nacionali'!$A$4,"indicador","España","mes",11,"año",2009))/GETPIVOTDATA("dato",'[1]evolucion mensual nacionali'!$A$4,"indicador","TOTAL","mes",11,"año",2009)</f>
        <v>0.85969428678374726</v>
      </c>
      <c r="Y21" s="206">
        <f>GETPIVOTDATA("dato",'[1]evolucion mensual nacionali'!$A$4,"indicador","TOTAL","mes",11,"año",2009)/GETPIVOTDATA("dato",'[1]evolucion mensual nacionali'!$A$4,"indicador","TOTAL","mes",11,"año",2009)</f>
        <v>1</v>
      </c>
    </row>
    <row r="22" spans="2:25" ht="15" hidden="1" customHeight="1" outlineLevel="1">
      <c r="B22" s="51" t="s">
        <v>39</v>
      </c>
      <c r="C22" s="204">
        <f>GETPIVOTDATA("dato",'[1]evolucion mensual nacionali'!$A$4,"indicador","España","mes",10,"año",2009)/GETPIVOTDATA("dato",'[1]evolucion mensual nacionali'!$A$4,"indicador","TOTAL","mes",10,"año",2009)</f>
        <v>0.19260033847466257</v>
      </c>
      <c r="D22" s="204">
        <f>GETPIVOTDATA("dato",'[1]evolucion mensual nacionali'!$A$4,"indicador","HOLANDA","mes",10,"año",2009)/GETPIVOTDATA("dato",'[1]evolucion mensual nacionali'!$A$4,"indicador","TOTAL","mes",10,"año",2009)</f>
        <v>3.9048418387704842E-2</v>
      </c>
      <c r="E22" s="204">
        <f>GETPIVOTDATA("dato",'[1]evolucion mensual nacionali'!$A$4,"indicador","BÉLGICA","mes",10,"año",2009)/GETPIVOTDATA("dato",'[1]evolucion mensual nacionali'!$A$4,"indicador","TOTAL","mes",10,"año",2009)</f>
        <v>3.1185074092929182E-2</v>
      </c>
      <c r="F22" s="204">
        <f>GETPIVOTDATA("dato",'[1]evolucion mensual nacionali'!$A$4,"indicador","ALEMANIA","mes",10,"año",2009)/GETPIVOTDATA("dato",'[1]evolucion mensual nacionali'!$A$4,"indicador","TOTAL","mes",10,"año",2009)</f>
        <v>0.13845127203181112</v>
      </c>
      <c r="G22" s="204">
        <f>GETPIVOTDATA("dato",'[1]evolucion mensual nacionali'!$A$4,"indicador","FRANCIA","mes",10,"año",2009)/GETPIVOTDATA("dato",'[1]evolucion mensual nacionali'!$A$4,"indicador","TOTAL","mes",10,"año",2009)</f>
        <v>2.3376766328650642E-2</v>
      </c>
      <c r="H22" s="204">
        <f>GETPIVOTDATA("dato",'[1]evolucion mensual nacionali'!$A$4,"indicador","REINO UNIDO","mes",10,"año",2009)/GETPIVOTDATA("dato",'[1]evolucion mensual nacionali'!$A$4,"indicador","TOTAL","mes",10,"año",2009)</f>
        <v>0.3745855061296936</v>
      </c>
      <c r="I22" s="204">
        <f>GETPIVOTDATA("dato",'[1]evolucion mensual nacionali'!$A$4,"indicador","IRLANDA","mes",10,"año",2009)/GETPIVOTDATA("dato",'[1]evolucion mensual nacionali'!$A$4,"indicador","TOTAL","mes",10,"año",2009)</f>
        <v>1.3683457394845829E-2</v>
      </c>
      <c r="J22" s="204">
        <f>GETPIVOTDATA("dato",'[1]evolucion mensual nacionali'!$A$4,"indicador","ITALIA","mes",10,"año",2009)/GETPIVOTDATA("dato",'[1]evolucion mensual nacionali'!$A$4,"indicador","TOTAL","mes",10,"año",2009)</f>
        <v>1.6648550475378034E-2</v>
      </c>
      <c r="K22" s="204">
        <f>(GETPIVOTDATA("dato",'[1]evolucion mensual nacionali'!$A$4,"indicador","SUECIA","mes",10,"año",2009)+GETPIVOTDATA("dato",'[1]evolucion mensual nacionali'!$A$4,"indicador","NORUEGA","mes",10,"año",2009)+GETPIVOTDATA("dato",'[1]evolucion mensual nacionali'!$A$4,"indicador","DINAMARCA","mes",10,"año",2009)+GETPIVOTDATA("dato",'[1]evolucion mensual nacionali'!$A$4,"indicador","FINLANDIA","mes",10,"año",2009))/GETPIVOTDATA("dato",'[1]evolucion mensual nacionali'!$A$4,"indicador","TOTAL","mes",10,"año",2009)</f>
        <v>7.442314836472709E-2</v>
      </c>
      <c r="L22" s="204">
        <f>GETPIVOTDATA("dato",'[1]evolucion mensual nacionali'!$A$4,"indicador","SUECIA","mes",10,"año",2009)/GETPIVOTDATA("dato",'[1]evolucion mensual nacionali'!$A$4,"indicador","TOTAL","mes",10,"año",2009)</f>
        <v>3.1102519297183506E-2</v>
      </c>
      <c r="M22" s="204">
        <f>GETPIVOTDATA("dato",'[1]evolucion mensual nacionali'!$A$4,"indicador","NORUEGA","mes",10,"año",2009)/GETPIVOTDATA("dato",'[1]evolucion mensual nacionali'!$A$4,"indicador","TOTAL","mes",10,"año",2009)</f>
        <v>1.1041703930984191E-2</v>
      </c>
      <c r="N22" s="204">
        <f>GETPIVOTDATA("dato",'[1]evolucion mensual nacionali'!$A$4,"indicador","DINAMARCA","mes",10,"año",2009)/GETPIVOTDATA("dato",'[1]evolucion mensual nacionali'!$A$4,"indicador","TOTAL","mes",10,"año",2009)</f>
        <v>1.5479024202314286E-2</v>
      </c>
      <c r="O22" s="204">
        <f>GETPIVOTDATA("dato",'[1]evolucion mensual nacionali'!$A$4,"indicador","FINLANDIA","mes",10,"año",2009)/GETPIVOTDATA("dato",'[1]evolucion mensual nacionali'!$A$4,"indicador","TOTAL","mes",10,"año",2009)</f>
        <v>1.6799900934245104E-2</v>
      </c>
      <c r="P22" s="204">
        <f>GETPIVOTDATA("dato",'[1]evolucion mensual nacionali'!$A$4,"indicador","SUIZA","mes",10,"año",2009)/GETPIVOTDATA("dato",'[1]evolucion mensual nacionali'!$A$4,"indicador","TOTAL","mes",10,"año",2009)</f>
        <v>1.1241211354036242E-2</v>
      </c>
      <c r="Q22" s="204">
        <f>GETPIVOTDATA("dato",'[1]evolucion mensual nacionali'!$A$4,"indicador","AUSTRIA","mes",10,"año",2009)/GETPIVOTDATA("dato",'[1]evolucion mensual nacionali'!$A$4,"indicador","TOTAL","mes",10,"año",2009)</f>
        <v>5.6343648096424002E-3</v>
      </c>
      <c r="R22" s="204">
        <f>GETPIVOTDATA("dato",'[1]evolucion mensual nacionali'!$A$4,"indicador","RUSIA","mes",10,"año",2009)/GETPIVOTDATA("dato",'[1]evolucion mensual nacionali'!$A$4,"indicador","TOTAL","mes",10,"año",2009)</f>
        <v>2.6582644230107734E-2</v>
      </c>
      <c r="S22" s="204">
        <f>GETPIVOTDATA("dato",'[1]evolucion mensual nacionali'!$A$4,"indicador","PAÍSES DEL ESTE","mes",10,"año",2009)/GETPIVOTDATA("dato",'[1]evolucion mensual nacionali'!$A$4,"indicador","TOTAL","mes",10,"año",2009)</f>
        <v>2.8006714456720649E-2</v>
      </c>
      <c r="T22" s="204">
        <f>GETPIVOTDATA("dato",'[1]evolucion mensual nacionali'!$A$4,"indicador","RESTO DE EUROPA","mes",10,"año",2009)/GETPIVOTDATA("dato",'[1]evolucion mensual nacionali'!$A$4,"indicador","TOTAL","mes",10,"año",2009)</f>
        <v>1.8774336465829194E-2</v>
      </c>
      <c r="U22" s="204">
        <f>GETPIVOTDATA("dato",'[1]evolucion mensual nacionali'!$A$4,"indicador","USA","mes",10,"año",2009)/GETPIVOTDATA("dato",'[1]evolucion mensual nacionali'!$A$4,"indicador","TOTAL","mes",10,"año",2009)</f>
        <v>1.541022853919289E-3</v>
      </c>
      <c r="V22" s="204">
        <f>GETPIVOTDATA("dato",'[1]evolucion mensual nacionali'!$A$4,"indicador","RESTO DE AMÉRICA","mes",10,"año",2009)/GETPIVOTDATA("dato",'[1]evolucion mensual nacionali'!$A$4,"indicador","TOTAL","mes",10,"año",2009)</f>
        <v>1.5479024202314285E-3</v>
      </c>
      <c r="W22" s="204">
        <f>GETPIVOTDATA("dato",'[1]evolucion mensual nacionali'!$A$4,"indicador","RESTO DEL MUNDO","mes",10,"año",2009)/GETPIVOTDATA("dato",'[1]evolucion mensual nacionali'!$A$4,"indicador","TOTAL","mes",10,"año",2009)</f>
        <v>2.6692717291101971E-3</v>
      </c>
      <c r="X22" s="204">
        <f>(GETPIVOTDATA("dato",'[1]evolucion mensual nacionali'!$A$4,"indicador","TOTAL","mes",10,"año",2009)-GETPIVOTDATA("dato",'[1]evolucion mensual nacionali'!$A$4,"indicador","España","mes",10,"año",2009))/GETPIVOTDATA("dato",'[1]evolucion mensual nacionali'!$A$4,"indicador","TOTAL","mes",10,"año",2009)</f>
        <v>0.80739966152533749</v>
      </c>
      <c r="Y22" s="206">
        <f>GETPIVOTDATA("dato",'[1]evolucion mensual nacionali'!$A$4,"indicador","TOTAL","mes",10,"año",2009)/GETPIVOTDATA("dato",'[1]evolucion mensual nacionali'!$A$4,"indicador","TOTAL","mes",10,"año",2009)</f>
        <v>1</v>
      </c>
    </row>
    <row r="23" spans="2:25" ht="15" hidden="1" customHeight="1" outlineLevel="1">
      <c r="B23" s="51" t="s">
        <v>40</v>
      </c>
      <c r="C23" s="204">
        <f>GETPIVOTDATA("dato",'[1]evolucion mensual nacionali'!$A$4,"indicador","España","mes",9,"año",2009)/GETPIVOTDATA("dato",'[1]evolucion mensual nacionali'!$A$4,"indicador","TOTAL","mes",9,"año",2009)</f>
        <v>0.28127934507805291</v>
      </c>
      <c r="D23" s="204">
        <f>GETPIVOTDATA("dato",'[1]evolucion mensual nacionali'!$A$4,"indicador","HOLANDA","mes",9,"año",2009)/GETPIVOTDATA("dato",'[1]evolucion mensual nacionali'!$A$4,"indicador","TOTAL","mes",9,"año",2009)</f>
        <v>3.1598378747140735E-2</v>
      </c>
      <c r="E23" s="204">
        <f>GETPIVOTDATA("dato",'[1]evolucion mensual nacionali'!$A$4,"indicador","BÉLGICA","mes",9,"año",2009)/GETPIVOTDATA("dato",'[1]evolucion mensual nacionali'!$A$4,"indicador","TOTAL","mes",9,"año",2009)</f>
        <v>3.2184277057666841E-2</v>
      </c>
      <c r="F23" s="204">
        <f>GETPIVOTDATA("dato",'[1]evolucion mensual nacionali'!$A$4,"indicador","ALEMANIA","mes",9,"año",2009)/GETPIVOTDATA("dato",'[1]evolucion mensual nacionali'!$A$4,"indicador","TOTAL","mes",9,"año",2009)</f>
        <v>0.13834423532244472</v>
      </c>
      <c r="G23" s="204">
        <f>GETPIVOTDATA("dato",'[1]evolucion mensual nacionali'!$A$4,"indicador","FRANCIA","mes",9,"año",2009)/GETPIVOTDATA("dato",'[1]evolucion mensual nacionali'!$A$4,"indicador","TOTAL","mes",9,"año",2009)</f>
        <v>1.5425980175769493E-2</v>
      </c>
      <c r="H23" s="204">
        <f>GETPIVOTDATA("dato",'[1]evolucion mensual nacionali'!$A$4,"indicador","REINO UNIDO","mes",9,"año",2009)/GETPIVOTDATA("dato",'[1]evolucion mensual nacionali'!$A$4,"indicador","TOTAL","mes",9,"año",2009)</f>
        <v>0.33291063044263414</v>
      </c>
      <c r="I23" s="204">
        <f>GETPIVOTDATA("dato",'[1]evolucion mensual nacionali'!$A$4,"indicador","IRLANDA","mes",9,"año",2009)/GETPIVOTDATA("dato",'[1]evolucion mensual nacionali'!$A$4,"indicador","TOTAL","mes",9,"año",2009)</f>
        <v>1.4623379750391267E-2</v>
      </c>
      <c r="J23" s="204">
        <f>GETPIVOTDATA("dato",'[1]evolucion mensual nacionali'!$A$4,"indicador","ITALIA","mes",9,"año",2009)/GETPIVOTDATA("dato",'[1]evolucion mensual nacionali'!$A$4,"indicador","TOTAL","mes",9,"año",2009)</f>
        <v>1.918215016653959E-2</v>
      </c>
      <c r="K23" s="204">
        <f>(GETPIVOTDATA("dato",'[1]evolucion mensual nacionali'!$A$4,"indicador","SUECIA","mes",9,"año",2009)+GETPIVOTDATA("dato",'[1]evolucion mensual nacionali'!$A$4,"indicador","NORUEGA","mes",9,"año",2009)+GETPIVOTDATA("dato",'[1]evolucion mensual nacionali'!$A$4,"indicador","DINAMARCA","mes",9,"año",2009)+GETPIVOTDATA("dato",'[1]evolucion mensual nacionali'!$A$4,"indicador","FINLANDIA","mes",9,"año",2009))/GETPIVOTDATA("dato",'[1]evolucion mensual nacionali'!$A$4,"indicador","TOTAL","mes",9,"año",2009)</f>
        <v>2.5715317629118342E-2</v>
      </c>
      <c r="L23" s="204">
        <f>GETPIVOTDATA("dato",'[1]evolucion mensual nacionali'!$A$4,"indicador","SUECIA","mes",9,"año",2009)/GETPIVOTDATA("dato",'[1]evolucion mensual nacionali'!$A$4,"indicador","TOTAL","mes",9,"año",2009)</f>
        <v>1.2151370440226333E-2</v>
      </c>
      <c r="M23" s="204">
        <f>GETPIVOTDATA("dato",'[1]evolucion mensual nacionali'!$A$4,"indicador","NORUEGA","mes",9,"año",2009)/GETPIVOTDATA("dato",'[1]evolucion mensual nacionali'!$A$4,"indicador","TOTAL","mes",9,"año",2009)</f>
        <v>4.0130021268911268E-3</v>
      </c>
      <c r="N23" s="204">
        <f>GETPIVOTDATA("dato",'[1]evolucion mensual nacionali'!$A$4,"indicador","DINAMARCA","mes",9,"año",2009)/GETPIVOTDATA("dato",'[1]evolucion mensual nacionali'!$A$4,"indicador","TOTAL","mes",9,"año",2009)</f>
        <v>8.2908623941570694E-3</v>
      </c>
      <c r="O23" s="204">
        <f>GETPIVOTDATA("dato",'[1]evolucion mensual nacionali'!$A$4,"indicador","FINLANDIA","mes",9,"año",2009)/GETPIVOTDATA("dato",'[1]evolucion mensual nacionali'!$A$4,"indicador","TOTAL","mes",9,"año",2009)</f>
        <v>1.2600826678438139E-3</v>
      </c>
      <c r="P23" s="204">
        <f>GETPIVOTDATA("dato",'[1]evolucion mensual nacionali'!$A$4,"indicador","SUIZA","mes",9,"año",2009)/GETPIVOTDATA("dato",'[1]evolucion mensual nacionali'!$A$4,"indicador","TOTAL","mes",9,"año",2009)</f>
        <v>8.5797985472932294E-3</v>
      </c>
      <c r="Q23" s="204">
        <f>GETPIVOTDATA("dato",'[1]evolucion mensual nacionali'!$A$4,"indicador","AUSTRIA","mes",9,"año",2009)/GETPIVOTDATA("dato",'[1]evolucion mensual nacionali'!$A$4,"indicador","TOTAL","mes",9,"año",2009)</f>
        <v>4.7032384927164009E-3</v>
      </c>
      <c r="R23" s="204">
        <f>GETPIVOTDATA("dato",'[1]evolucion mensual nacionali'!$A$4,"indicador","RUSIA","mes",9,"año",2009)/GETPIVOTDATA("dato",'[1]evolucion mensual nacionali'!$A$4,"indicador","TOTAL","mes",9,"año",2009)</f>
        <v>2.3732894578434128E-2</v>
      </c>
      <c r="S23" s="204">
        <f>GETPIVOTDATA("dato",'[1]evolucion mensual nacionali'!$A$4,"indicador","PAÍSES DEL ESTE","mes",9,"año",2009)/GETPIVOTDATA("dato",'[1]evolucion mensual nacionali'!$A$4,"indicador","TOTAL","mes",9,"año",2009)</f>
        <v>3.5956499056944501E-2</v>
      </c>
      <c r="T23" s="204">
        <f>GETPIVOTDATA("dato",'[1]evolucion mensual nacionali'!$A$4,"indicador","RESTO DE EUROPA","mes",9,"año",2009)/GETPIVOTDATA("dato",'[1]evolucion mensual nacionali'!$A$4,"indicador","TOTAL","mes",9,"año",2009)</f>
        <v>2.9142421445483367E-2</v>
      </c>
      <c r="U23" s="204">
        <f>GETPIVOTDATA("dato",'[1]evolucion mensual nacionali'!$A$4,"indicador","USA","mes",9,"año",2009)/GETPIVOTDATA("dato",'[1]evolucion mensual nacionali'!$A$4,"indicador","TOTAL","mes",9,"año",2009)</f>
        <v>1.7015129018018379E-3</v>
      </c>
      <c r="V23" s="204">
        <f>GETPIVOTDATA("dato",'[1]evolucion mensual nacionali'!$A$4,"indicador","RESTO DE AMÉRICA","mes",9,"año",2009)/GETPIVOTDATA("dato",'[1]evolucion mensual nacionali'!$A$4,"indicador","TOTAL","mes",9,"año",2009)</f>
        <v>1.5008627954572816E-3</v>
      </c>
      <c r="W23" s="204">
        <f>GETPIVOTDATA("dato",'[1]evolucion mensual nacionali'!$A$4,"indicador","RESTO DEL MUNDO","mes",9,"año",2009)/GETPIVOTDATA("dato",'[1]evolucion mensual nacionali'!$A$4,"indicador","TOTAL","mes",9,"año",2009)</f>
        <v>3.4190778121112406E-3</v>
      </c>
      <c r="X23" s="204">
        <f>(GETPIVOTDATA("dato",'[1]evolucion mensual nacionali'!$A$4,"indicador","TOTAL","mes",9,"año",2009)-GETPIVOTDATA("dato",'[1]evolucion mensual nacionali'!$A$4,"indicador","España","mes",9,"año",2009))/GETPIVOTDATA("dato",'[1]evolucion mensual nacionali'!$A$4,"indicador","TOTAL","mes",9,"año",2009)</f>
        <v>0.71872065492194714</v>
      </c>
      <c r="Y23" s="206">
        <f>GETPIVOTDATA("dato",'[1]evolucion mensual nacionali'!$A$4,"indicador","TOTAL","mes",9,"año",2009)/GETPIVOTDATA("dato",'[1]evolucion mensual nacionali'!$A$4,"indicador","TOTAL","mes",9,"año",2009)</f>
        <v>1</v>
      </c>
    </row>
    <row r="24" spans="2:25" ht="15" hidden="1" customHeight="1" outlineLevel="1">
      <c r="B24" s="51" t="s">
        <v>41</v>
      </c>
      <c r="C24" s="204">
        <f>GETPIVOTDATA("dato",'[1]evolucion mensual nacionali'!$A$4,"indicador","España","mes",8,"año",2009)/GETPIVOTDATA("dato",'[1]evolucion mensual nacionali'!$A$4,"indicador","TOTAL","mes",8,"año",2009)</f>
        <v>0.40231998120521556</v>
      </c>
      <c r="D24" s="204">
        <f>GETPIVOTDATA("dato",'[1]evolucion mensual nacionali'!$A$4,"indicador","HOLANDA","mes",8,"año",2009)/GETPIVOTDATA("dato",'[1]evolucion mensual nacionali'!$A$4,"indicador","TOTAL","mes",8,"año",2009)</f>
        <v>3.4740984376835427E-2</v>
      </c>
      <c r="E24" s="204">
        <f>GETPIVOTDATA("dato",'[1]evolucion mensual nacionali'!$A$4,"indicador","BÉLGICA","mes",8,"año",2009)/GETPIVOTDATA("dato",'[1]evolucion mensual nacionali'!$A$4,"indicador","TOTAL","mes",8,"año",2009)</f>
        <v>3.3519323387759897E-2</v>
      </c>
      <c r="F24" s="204">
        <f>GETPIVOTDATA("dato",'[1]evolucion mensual nacionali'!$A$4,"indicador","ALEMANIA","mes",8,"año",2009)/GETPIVOTDATA("dato",'[1]evolucion mensual nacionali'!$A$4,"indicador","TOTAL","mes",8,"año",2009)</f>
        <v>9.7157288852343468E-2</v>
      </c>
      <c r="G24" s="204">
        <f>GETPIVOTDATA("dato",'[1]evolucion mensual nacionali'!$A$4,"indicador","FRANCIA","mes",8,"año",2009)/GETPIVOTDATA("dato",'[1]evolucion mensual nacionali'!$A$4,"indicador","TOTAL","mes",8,"año",2009)</f>
        <v>2.7728180429930693E-2</v>
      </c>
      <c r="H24" s="204">
        <f>GETPIVOTDATA("dato",'[1]evolucion mensual nacionali'!$A$4,"indicador","REINO UNIDO","mes",8,"año",2009)/GETPIVOTDATA("dato",'[1]evolucion mensual nacionali'!$A$4,"indicador","TOTAL","mes",8,"año",2009)</f>
        <v>0.24837894984141901</v>
      </c>
      <c r="I24" s="204">
        <f>GETPIVOTDATA("dato",'[1]evolucion mensual nacionali'!$A$4,"indicador","IRLANDA","mes",8,"año",2009)/GETPIVOTDATA("dato",'[1]evolucion mensual nacionali'!$A$4,"indicador","TOTAL","mes",8,"año",2009)</f>
        <v>1.4689298719605309E-2</v>
      </c>
      <c r="J24" s="204">
        <f>GETPIVOTDATA("dato",'[1]evolucion mensual nacionali'!$A$4,"indicador","ITALIA","mes",8,"año",2009)/GETPIVOTDATA("dato",'[1]evolucion mensual nacionali'!$A$4,"indicador","TOTAL","mes",8,"año",2009)</f>
        <v>4.1289792082697049E-2</v>
      </c>
      <c r="K24" s="204">
        <f>(GETPIVOTDATA("dato",'[1]evolucion mensual nacionali'!$A$4,"indicador","SUECIA","mes",8,"año",2009)+GETPIVOTDATA("dato",'[1]evolucion mensual nacionali'!$A$4,"indicador","NORUEGA","mes",8,"año",2009)+GETPIVOTDATA("dato",'[1]evolucion mensual nacionali'!$A$4,"indicador","DINAMARCA","mes",8,"año",2009)+GETPIVOTDATA("dato",'[1]evolucion mensual nacionali'!$A$4,"indicador","FINLANDIA","mes",8,"año",2009))/GETPIVOTDATA("dato",'[1]evolucion mensual nacionali'!$A$4,"indicador","TOTAL","mes",8,"año",2009)</f>
        <v>7.6999882532597201E-3</v>
      </c>
      <c r="L24" s="204">
        <f>GETPIVOTDATA("dato",'[1]evolucion mensual nacionali'!$A$4,"indicador","SUECIA","mes",8,"año",2009)/GETPIVOTDATA("dato",'[1]evolucion mensual nacionali'!$A$4,"indicador","TOTAL","mes",8,"año",2009)</f>
        <v>2.4550687184306356E-3</v>
      </c>
      <c r="M24" s="204">
        <f>GETPIVOTDATA("dato",'[1]evolucion mensual nacionali'!$A$4,"indicador","NORUEGA","mes",8,"año",2009)/GETPIVOTDATA("dato",'[1]evolucion mensual nacionali'!$A$4,"indicador","TOTAL","mes",8,"año",2009)</f>
        <v>1.0983202161400211E-3</v>
      </c>
      <c r="N24" s="204">
        <f>GETPIVOTDATA("dato",'[1]evolucion mensual nacionali'!$A$4,"indicador","DINAMARCA","mes",8,"año",2009)/GETPIVOTDATA("dato",'[1]evolucion mensual nacionali'!$A$4,"indicador","TOTAL","mes",8,"año",2009)</f>
        <v>3.9938916950546226E-3</v>
      </c>
      <c r="O24" s="204">
        <f>GETPIVOTDATA("dato",'[1]evolucion mensual nacionali'!$A$4,"indicador","FINLANDIA","mes",8,"año",2009)/GETPIVOTDATA("dato",'[1]evolucion mensual nacionali'!$A$4,"indicador","TOTAL","mes",8,"año",2009)</f>
        <v>1.5270762363444145E-4</v>
      </c>
      <c r="P24" s="204">
        <f>GETPIVOTDATA("dato",'[1]evolucion mensual nacionali'!$A$4,"indicador","SUIZA","mes",8,"año",2009)/GETPIVOTDATA("dato",'[1]evolucion mensual nacionali'!$A$4,"indicador","TOTAL","mes",8,"año",2009)</f>
        <v>5.5327146716786088E-3</v>
      </c>
      <c r="Q24" s="204">
        <f>GETPIVOTDATA("dato",'[1]evolucion mensual nacionali'!$A$4,"indicador","AUSTRIA","mes",8,"año",2009)/GETPIVOTDATA("dato",'[1]evolucion mensual nacionali'!$A$4,"indicador","TOTAL","mes",8,"año",2009)</f>
        <v>3.3713144602372843E-3</v>
      </c>
      <c r="R24" s="204">
        <f>GETPIVOTDATA("dato",'[1]evolucion mensual nacionali'!$A$4,"indicador","RUSIA","mes",8,"año",2009)/GETPIVOTDATA("dato",'[1]evolucion mensual nacionali'!$A$4,"indicador","TOTAL","mes",8,"año",2009)</f>
        <v>2.1543521672735814E-2</v>
      </c>
      <c r="S24" s="204">
        <f>GETPIVOTDATA("dato",'[1]evolucion mensual nacionali'!$A$4,"indicador","PAÍSES DEL ESTE","mes",8,"año",2009)/GETPIVOTDATA("dato",'[1]evolucion mensual nacionali'!$A$4,"indicador","TOTAL","mes",8,"año",2009)</f>
        <v>2.1108892282391635E-2</v>
      </c>
      <c r="T24" s="204">
        <f>GETPIVOTDATA("dato",'[1]evolucion mensual nacionali'!$A$4,"indicador","RESTO DE EUROPA","mes",8,"año",2009)/GETPIVOTDATA("dato",'[1]evolucion mensual nacionali'!$A$4,"indicador","TOTAL","mes",8,"año",2009)</f>
        <v>3.2274168918125221E-2</v>
      </c>
      <c r="U24" s="204">
        <f>GETPIVOTDATA("dato",'[1]evolucion mensual nacionali'!$A$4,"indicador","USA","mes",8,"año",2009)/GETPIVOTDATA("dato",'[1]evolucion mensual nacionali'!$A$4,"indicador","TOTAL","mes",8,"año",2009)</f>
        <v>1.8148713731939387E-3</v>
      </c>
      <c r="V24" s="204">
        <f>GETPIVOTDATA("dato",'[1]evolucion mensual nacionali'!$A$4,"indicador","RESTO DE AMÉRICA","mes",8,"año",2009)/GETPIVOTDATA("dato",'[1]evolucion mensual nacionali'!$A$4,"indicador","TOTAL","mes",8,"año",2009)</f>
        <v>2.1026665100434628E-3</v>
      </c>
      <c r="W24" s="204">
        <f>GETPIVOTDATA("dato",'[1]evolucion mensual nacionali'!$A$4,"indicador","RESTO DEL MUNDO","mes",8,"año",2009)/GETPIVOTDATA("dato",'[1]evolucion mensual nacionali'!$A$4,"indicador","TOTAL","mes",8,"año",2009)</f>
        <v>4.7280629625278984E-3</v>
      </c>
      <c r="X24" s="204">
        <f>(GETPIVOTDATA("dato",'[1]evolucion mensual nacionali'!$A$4,"indicador","TOTAL","mes",8,"año",2009)-GETPIVOTDATA("dato",'[1]evolucion mensual nacionali'!$A$4,"indicador","España","mes",8,"año",2009))/GETPIVOTDATA("dato",'[1]evolucion mensual nacionali'!$A$4,"indicador","TOTAL","mes",8,"año",2009)</f>
        <v>0.5976800187947845</v>
      </c>
      <c r="Y24" s="206">
        <f>GETPIVOTDATA("dato",'[1]evolucion mensual nacionali'!$A$4,"indicador","TOTAL","mes",8,"año",2009)/GETPIVOTDATA("dato",'[1]evolucion mensual nacionali'!$A$4,"indicador","TOTAL","mes",8,"año",2009)</f>
        <v>1</v>
      </c>
    </row>
    <row r="25" spans="2:25" ht="15" hidden="1" customHeight="1" outlineLevel="1">
      <c r="B25" s="51" t="s">
        <v>42</v>
      </c>
      <c r="C25" s="204">
        <f>GETPIVOTDATA("dato",'[1]evolucion mensual nacionali'!$A$4,"indicador","España","mes",7,"año",2009)/GETPIVOTDATA("dato",'[1]evolucion mensual nacionali'!$A$4,"indicador","TOTAL","mes",7,"año",2009)</f>
        <v>0.313926161279311</v>
      </c>
      <c r="D25" s="204">
        <f>GETPIVOTDATA("dato",'[1]evolucion mensual nacionali'!$A$4,"indicador","HOLANDA","mes",7,"año",2009)/GETPIVOTDATA("dato",'[1]evolucion mensual nacionali'!$A$4,"indicador","TOTAL","mes",7,"año",2009)</f>
        <v>4.5551821022503478E-2</v>
      </c>
      <c r="E25" s="204">
        <f>GETPIVOTDATA("dato",'[1]evolucion mensual nacionali'!$A$4,"indicador","BÉLGICA","mes",7,"año",2009)/GETPIVOTDATA("dato",'[1]evolucion mensual nacionali'!$A$4,"indicador","TOTAL","mes",7,"año",2009)</f>
        <v>3.724759078854082E-2</v>
      </c>
      <c r="F25" s="204">
        <f>GETPIVOTDATA("dato",'[1]evolucion mensual nacionali'!$A$4,"indicador","ALEMANIA","mes",7,"año",2009)/GETPIVOTDATA("dato",'[1]evolucion mensual nacionali'!$A$4,"indicador","TOTAL","mes",7,"año",2009)</f>
        <v>0.11618701257779061</v>
      </c>
      <c r="G25" s="204">
        <f>GETPIVOTDATA("dato",'[1]evolucion mensual nacionali'!$A$4,"indicador","FRANCIA","mes",7,"año",2009)/GETPIVOTDATA("dato",'[1]evolucion mensual nacionali'!$A$4,"indicador","TOTAL","mes",7,"año",2009)</f>
        <v>1.9601922117480242E-2</v>
      </c>
      <c r="H25" s="204">
        <f>GETPIVOTDATA("dato",'[1]evolucion mensual nacionali'!$A$4,"indicador","REINO UNIDO","mes",7,"año",2009)/GETPIVOTDATA("dato",'[1]evolucion mensual nacionali'!$A$4,"indicador","TOTAL","mes",7,"año",2009)</f>
        <v>0.29852558884541658</v>
      </c>
      <c r="I25" s="204">
        <f>GETPIVOTDATA("dato",'[1]evolucion mensual nacionali'!$A$4,"indicador","IRLANDA","mes",7,"año",2009)/GETPIVOTDATA("dato",'[1]evolucion mensual nacionali'!$A$4,"indicador","TOTAL","mes",7,"año",2009)</f>
        <v>1.4921355985610377E-2</v>
      </c>
      <c r="J25" s="204">
        <f>GETPIVOTDATA("dato",'[1]evolucion mensual nacionali'!$A$4,"indicador","ITALIA","mes",7,"año",2009)/GETPIVOTDATA("dato",'[1]evolucion mensual nacionali'!$A$4,"indicador","TOTAL","mes",7,"año",2009)</f>
        <v>1.9240868629047083E-2</v>
      </c>
      <c r="K25" s="204">
        <f>(GETPIVOTDATA("dato",'[1]evolucion mensual nacionali'!$A$4,"indicador","SUECIA","mes",7,"año",2009)+GETPIVOTDATA("dato",'[1]evolucion mensual nacionali'!$A$4,"indicador","NORUEGA","mes",7,"año",2009)+GETPIVOTDATA("dato",'[1]evolucion mensual nacionali'!$A$4,"indicador","DINAMARCA","mes",7,"año",2009)+GETPIVOTDATA("dato",'[1]evolucion mensual nacionali'!$A$4,"indicador","FINLANDIA","mes",7,"año",2009))/GETPIVOTDATA("dato",'[1]evolucion mensual nacionali'!$A$4,"indicador","TOTAL","mes",7,"año",2009)</f>
        <v>2.0310899876585353E-2</v>
      </c>
      <c r="L25" s="204">
        <f>GETPIVOTDATA("dato",'[1]evolucion mensual nacionali'!$A$4,"indicador","SUECIA","mes",7,"año",2009)/GETPIVOTDATA("dato",'[1]evolucion mensual nacionali'!$A$4,"indicador","TOTAL","mes",7,"año",2009)</f>
        <v>8.1466796208281914E-3</v>
      </c>
      <c r="M25" s="204">
        <f>GETPIVOTDATA("dato",'[1]evolucion mensual nacionali'!$A$4,"indicador","NORUEGA","mes",7,"año",2009)/GETPIVOTDATA("dato",'[1]evolucion mensual nacionali'!$A$4,"indicador","TOTAL","mes",7,"año",2009)</f>
        <v>4.8315521361237297E-3</v>
      </c>
      <c r="N25" s="204">
        <f>GETPIVOTDATA("dato",'[1]evolucion mensual nacionali'!$A$4,"indicador","DINAMARCA","mes",7,"año",2009)/GETPIVOTDATA("dato",'[1]evolucion mensual nacionali'!$A$4,"indicador","TOTAL","mes",7,"año",2009)</f>
        <v>6.0066171257516475E-3</v>
      </c>
      <c r="O25" s="204">
        <f>GETPIVOTDATA("dato",'[1]evolucion mensual nacionali'!$A$4,"indicador","FINLANDIA","mes",7,"año",2009)/GETPIVOTDATA("dato",'[1]evolucion mensual nacionali'!$A$4,"indicador","TOTAL","mes",7,"año",2009)</f>
        <v>1.3260509938817844E-3</v>
      </c>
      <c r="P25" s="204">
        <f>GETPIVOTDATA("dato",'[1]evolucion mensual nacionali'!$A$4,"indicador","SUIZA","mes",7,"año",2009)/GETPIVOTDATA("dato",'[1]evolucion mensual nacionali'!$A$4,"indicador","TOTAL","mes",7,"año",2009)</f>
        <v>9.5383767035160053E-3</v>
      </c>
      <c r="Q25" s="204">
        <f>GETPIVOTDATA("dato",'[1]evolucion mensual nacionali'!$A$4,"indicador","AUSTRIA","mes",7,"año",2009)/GETPIVOTDATA("dato",'[1]evolucion mensual nacionali'!$A$4,"indicador","TOTAL","mes",7,"año",2009)</f>
        <v>5.3501562376913579E-3</v>
      </c>
      <c r="R25" s="204">
        <f>GETPIVOTDATA("dato",'[1]evolucion mensual nacionali'!$A$4,"indicador","RUSIA","mes",7,"año",2009)/GETPIVOTDATA("dato",'[1]evolucion mensual nacionali'!$A$4,"indicador","TOTAL","mes",7,"año",2009)</f>
        <v>2.7577921907412758E-2</v>
      </c>
      <c r="S25" s="204">
        <f>GETPIVOTDATA("dato",'[1]evolucion mensual nacionali'!$A$4,"indicador","PAÍSES DEL ESTE","mes",7,"año",2009)/GETPIVOTDATA("dato",'[1]evolucion mensual nacionali'!$A$4,"indicador","TOTAL","mes",7,"año",2009)</f>
        <v>3.3026547278313161E-2</v>
      </c>
      <c r="T25" s="204">
        <f>GETPIVOTDATA("dato",'[1]evolucion mensual nacionali'!$A$4,"indicador","RESTO DE EUROPA","mes",7,"año",2009)/GETPIVOTDATA("dato",'[1]evolucion mensual nacionali'!$A$4,"indicador","TOTAL","mes",7,"año",2009)</f>
        <v>3.1871176115327048E-2</v>
      </c>
      <c r="U25" s="204">
        <f>GETPIVOTDATA("dato",'[1]evolucion mensual nacionali'!$A$4,"indicador","USA","mes",7,"año",2009)/GETPIVOTDATA("dato",'[1]evolucion mensual nacionali'!$A$4,"indicador","TOTAL","mes",7,"año",2009)</f>
        <v>1.5755061313446944E-3</v>
      </c>
      <c r="V25" s="204">
        <f>GETPIVOTDATA("dato",'[1]evolucion mensual nacionali'!$A$4,"indicador","RESTO DE AMÉRICA","mes",7,"año",2009)/GETPIVOTDATA("dato",'[1]evolucion mensual nacionali'!$A$4,"indicador","TOTAL","mes",7,"año",2009)</f>
        <v>2.2319670194049838E-3</v>
      </c>
      <c r="W25" s="204">
        <f>GETPIVOTDATA("dato",'[1]evolucion mensual nacionali'!$A$4,"indicador","RESTO DEL MUNDO","mes",7,"año",2009)/GETPIVOTDATA("dato",'[1]evolucion mensual nacionali'!$A$4,"indicador","TOTAL","mes",7,"año",2009)</f>
        <v>3.3151274847044612E-3</v>
      </c>
      <c r="X25" s="204">
        <f>(GETPIVOTDATA("dato",'[1]evolucion mensual nacionali'!$A$4,"indicador","TOTAL","mes",7,"año",2009)-GETPIVOTDATA("dato",'[1]evolucion mensual nacionali'!$A$4,"indicador","España","mes",7,"año",2009))/GETPIVOTDATA("dato",'[1]evolucion mensual nacionali'!$A$4,"indicador","TOTAL","mes",7,"año",2009)</f>
        <v>0.68607383872068906</v>
      </c>
      <c r="Y25" s="206">
        <f>GETPIVOTDATA("dato",'[1]evolucion mensual nacionali'!$A$4,"indicador","TOTAL","mes",7,"año",2009)/GETPIVOTDATA("dato",'[1]evolucion mensual nacionali'!$A$4,"indicador","TOTAL","mes",7,"año",2009)</f>
        <v>1</v>
      </c>
    </row>
    <row r="26" spans="2:25" ht="15" hidden="1" customHeight="1" outlineLevel="1">
      <c r="B26" s="51" t="s">
        <v>43</v>
      </c>
      <c r="C26" s="204">
        <f>GETPIVOTDATA("dato",'[1]evolucion mensual nacionali'!$A$4,"indicador","España","mes",6,"año",2009)/GETPIVOTDATA("dato",'[1]evolucion mensual nacionali'!$A$4,"indicador","TOTAL","mes",6,"año",2009)</f>
        <v>0.27301935133086741</v>
      </c>
      <c r="D26" s="204">
        <f>GETPIVOTDATA("dato",'[1]evolucion mensual nacionali'!$A$4,"indicador","HOLANDA","mes",6,"año",2009)/GETPIVOTDATA("dato",'[1]evolucion mensual nacionali'!$A$4,"indicador","TOTAL","mes",6,"año",2009)</f>
        <v>2.5571107284964617E-2</v>
      </c>
      <c r="E26" s="204">
        <f>GETPIVOTDATA("dato",'[1]evolucion mensual nacionali'!$A$4,"indicador","BÉLGICA","mes",6,"año",2009)/GETPIVOTDATA("dato",'[1]evolucion mensual nacionali'!$A$4,"indicador","TOTAL","mes",6,"año",2009)</f>
        <v>2.7482349839768674E-2</v>
      </c>
      <c r="F26" s="204">
        <f>GETPIVOTDATA("dato",'[1]evolucion mensual nacionali'!$A$4,"indicador","ALEMANIA","mes",6,"año",2009)/GETPIVOTDATA("dato",'[1]evolucion mensual nacionali'!$A$4,"indicador","TOTAL","mes",6,"año",2009)</f>
        <v>0.12993977938329476</v>
      </c>
      <c r="G26" s="204">
        <f>GETPIVOTDATA("dato",'[1]evolucion mensual nacionali'!$A$4,"indicador","FRANCIA","mes",6,"año",2009)/GETPIVOTDATA("dato",'[1]evolucion mensual nacionali'!$A$4,"indicador","TOTAL","mes",6,"año",2009)</f>
        <v>1.514165437814593E-2</v>
      </c>
      <c r="H26" s="204">
        <f>GETPIVOTDATA("dato",'[1]evolucion mensual nacionali'!$A$4,"indicador","REINO UNIDO","mes",6,"año",2009)/GETPIVOTDATA("dato",'[1]evolucion mensual nacionali'!$A$4,"indicador","TOTAL","mes",6,"año",2009)</f>
        <v>0.33582673597666968</v>
      </c>
      <c r="I26" s="204">
        <f>GETPIVOTDATA("dato",'[1]evolucion mensual nacionali'!$A$4,"indicador","IRLANDA","mes",6,"año",2009)/GETPIVOTDATA("dato",'[1]evolucion mensual nacionali'!$A$4,"indicador","TOTAL","mes",6,"año",2009)</f>
        <v>1.8329804674306144E-2</v>
      </c>
      <c r="J26" s="204">
        <f>GETPIVOTDATA("dato",'[1]evolucion mensual nacionali'!$A$4,"indicador","ITALIA","mes",6,"año",2009)/GETPIVOTDATA("dato",'[1]evolucion mensual nacionali'!$A$4,"indicador","TOTAL","mes",6,"año",2009)</f>
        <v>2.0727095982271578E-2</v>
      </c>
      <c r="K26" s="204">
        <f>(GETPIVOTDATA("dato",'[1]evolucion mensual nacionali'!$A$4,"indicador","SUECIA","mes",6,"año",2009)+GETPIVOTDATA("dato",'[1]evolucion mensual nacionali'!$A$4,"indicador","NORUEGA","mes",6,"año",2009)+GETPIVOTDATA("dato",'[1]evolucion mensual nacionali'!$A$4,"indicador","DINAMARCA","mes",6,"año",2009)+GETPIVOTDATA("dato",'[1]evolucion mensual nacionali'!$A$4,"indicador","FINLANDIA","mes",6,"año",2009))/GETPIVOTDATA("dato",'[1]evolucion mensual nacionali'!$A$4,"indicador","TOTAL","mes",6,"año",2009)</f>
        <v>2.0595286150905782E-2</v>
      </c>
      <c r="L26" s="204">
        <f>GETPIVOTDATA("dato",'[1]evolucion mensual nacionali'!$A$4,"indicador","SUECIA","mes",6,"año",2009)/GETPIVOTDATA("dato",'[1]evolucion mensual nacionali'!$A$4,"indicador","TOTAL","mes",6,"año",2009)</f>
        <v>8.6170677255389787E-3</v>
      </c>
      <c r="M26" s="204">
        <f>GETPIVOTDATA("dato",'[1]evolucion mensual nacionali'!$A$4,"indicador","NORUEGA","mes",6,"año",2009)/GETPIVOTDATA("dato",'[1]evolucion mensual nacionali'!$A$4,"indicador","TOTAL","mes",6,"año",2009)</f>
        <v>3.3693888142881856E-3</v>
      </c>
      <c r="N26" s="204">
        <f>GETPIVOTDATA("dato",'[1]evolucion mensual nacionali'!$A$4,"indicador","DINAMARCA","mes",6,"año",2009)/GETPIVOTDATA("dato",'[1]evolucion mensual nacionali'!$A$4,"indicador","TOTAL","mes",6,"año",2009)</f>
        <v>8.1392570868379643E-3</v>
      </c>
      <c r="O26" s="204">
        <f>GETPIVOTDATA("dato",'[1]evolucion mensual nacionali'!$A$4,"indicador","FINLANDIA","mes",6,"año",2009)/GETPIVOTDATA("dato",'[1]evolucion mensual nacionali'!$A$4,"indicador","TOTAL","mes",6,"año",2009)</f>
        <v>4.6957252424065178E-4</v>
      </c>
      <c r="P26" s="204">
        <f>GETPIVOTDATA("dato",'[1]evolucion mensual nacionali'!$A$4,"indicador","SUIZA","mes",6,"año",2009)/GETPIVOTDATA("dato",'[1]evolucion mensual nacionali'!$A$4,"indicador","TOTAL","mes",6,"año",2009)</f>
        <v>8.7571156713651382E-3</v>
      </c>
      <c r="Q26" s="204">
        <f>GETPIVOTDATA("dato",'[1]evolucion mensual nacionali'!$A$4,"indicador","AUSTRIA","mes",6,"año",2009)/GETPIVOTDATA("dato",'[1]evolucion mensual nacionali'!$A$4,"indicador","TOTAL","mes",6,"año",2009)</f>
        <v>3.9625330554342725E-3</v>
      </c>
      <c r="R26" s="204">
        <f>GETPIVOTDATA("dato",'[1]evolucion mensual nacionali'!$A$4,"indicador","RUSIA","mes",6,"año",2009)/GETPIVOTDATA("dato",'[1]evolucion mensual nacionali'!$A$4,"indicador","TOTAL","mes",6,"año",2009)</f>
        <v>2.9821974346511571E-2</v>
      </c>
      <c r="S26" s="204">
        <f>GETPIVOTDATA("dato",'[1]evolucion mensual nacionali'!$A$4,"indicador","PAÍSES DEL ESTE","mes",6,"año",2009)/GETPIVOTDATA("dato",'[1]evolucion mensual nacionali'!$A$4,"indicador","TOTAL","mes",6,"año",2009)</f>
        <v>4.7772825755641048E-2</v>
      </c>
      <c r="T26" s="204">
        <f>GETPIVOTDATA("dato",'[1]evolucion mensual nacionali'!$A$4,"indicador","RESTO DE EUROPA","mes",6,"año",2009)/GETPIVOTDATA("dato",'[1]evolucion mensual nacionali'!$A$4,"indicador","TOTAL","mes",6,"año",2009)</f>
        <v>3.588522658933823E-2</v>
      </c>
      <c r="U26" s="204">
        <f>GETPIVOTDATA("dato",'[1]evolucion mensual nacionali'!$A$4,"indicador","USA","mes",6,"año",2009)/GETPIVOTDATA("dato",'[1]evolucion mensual nacionali'!$A$4,"indicador","TOTAL","mes",6,"año",2009)</f>
        <v>2.2490052476789113E-3</v>
      </c>
      <c r="V26" s="204">
        <f>GETPIVOTDATA("dato",'[1]evolucion mensual nacionali'!$A$4,"indicador","RESTO DE AMÉRICA","mes",6,"año",2009)/GETPIVOTDATA("dato",'[1]evolucion mensual nacionali'!$A$4,"indicador","TOTAL","mes",6,"año",2009)</f>
        <v>1.474622488404854E-3</v>
      </c>
      <c r="W26" s="204">
        <f>GETPIVOTDATA("dato",'[1]evolucion mensual nacionali'!$A$4,"indicador","RESTO DEL MUNDO","mes",6,"año",2009)/GETPIVOTDATA("dato",'[1]evolucion mensual nacionali'!$A$4,"indicador","TOTAL","mes",6,"año",2009)</f>
        <v>3.4435318444314463E-3</v>
      </c>
      <c r="X26" s="204">
        <f>(GETPIVOTDATA("dato",'[1]evolucion mensual nacionali'!$A$4,"indicador","TOTAL","mes",6,"año",2009)-GETPIVOTDATA("dato",'[1]evolucion mensual nacionali'!$A$4,"indicador","España","mes",6,"año",2009))/GETPIVOTDATA("dato",'[1]evolucion mensual nacionali'!$A$4,"indicador","TOTAL","mes",6,"año",2009)</f>
        <v>0.72698064866913259</v>
      </c>
      <c r="Y26" s="206">
        <f>GETPIVOTDATA("dato",'[1]evolucion mensual nacionali'!$A$4,"indicador","TOTAL","mes",6,"año",2009)/GETPIVOTDATA("dato",'[1]evolucion mensual nacionali'!$A$4,"indicador","TOTAL","mes",6,"año",2009)</f>
        <v>1</v>
      </c>
    </row>
    <row r="27" spans="2:25" ht="15" hidden="1" customHeight="1" outlineLevel="1">
      <c r="B27" s="51" t="s">
        <v>44</v>
      </c>
      <c r="C27" s="204">
        <f>GETPIVOTDATA("dato",'[1]evolucion mensual nacionali'!$A$4,"indicador","España","mes",5,"año",2009)/GETPIVOTDATA("dato",'[1]evolucion mensual nacionali'!$A$4,"indicador","TOTAL","mes",5,"año",2009)</f>
        <v>0.28631392016789764</v>
      </c>
      <c r="D27" s="204">
        <f>GETPIVOTDATA("dato",'[1]evolucion mensual nacionali'!$A$4,"indicador","HOLANDA","mes",5,"año",2009)/GETPIVOTDATA("dato",'[1]evolucion mensual nacionali'!$A$4,"indicador","TOTAL","mes",5,"año",2009)</f>
        <v>3.2610889131048953E-2</v>
      </c>
      <c r="E27" s="204">
        <f>GETPIVOTDATA("dato",'[1]evolucion mensual nacionali'!$A$4,"indicador","BÉLGICA","mes",5,"año",2009)/GETPIVOTDATA("dato",'[1]evolucion mensual nacionali'!$A$4,"indicador","TOTAL","mes",5,"año",2009)</f>
        <v>2.7646607741050166E-2</v>
      </c>
      <c r="F27" s="204">
        <f>GETPIVOTDATA("dato",'[1]evolucion mensual nacionali'!$A$4,"indicador","ALEMANIA","mes",5,"año",2009)/GETPIVOTDATA("dato",'[1]evolucion mensual nacionali'!$A$4,"indicador","TOTAL","mes",5,"año",2009)</f>
        <v>0.12278322637930339</v>
      </c>
      <c r="G27" s="204">
        <f>GETPIVOTDATA("dato",'[1]evolucion mensual nacionali'!$A$4,"indicador","FRANCIA","mes",5,"año",2009)/GETPIVOTDATA("dato",'[1]evolucion mensual nacionali'!$A$4,"indicador","TOTAL","mes",5,"año",2009)</f>
        <v>2.0010493602938211E-2</v>
      </c>
      <c r="H27" s="204">
        <f>GETPIVOTDATA("dato",'[1]evolucion mensual nacionali'!$A$4,"indicador","REINO UNIDO","mes",5,"año",2009)/GETPIVOTDATA("dato",'[1]evolucion mensual nacionali'!$A$4,"indicador","TOTAL","mes",5,"año",2009)</f>
        <v>0.35633853977479113</v>
      </c>
      <c r="I27" s="204">
        <f>GETPIVOTDATA("dato",'[1]evolucion mensual nacionali'!$A$4,"indicador","IRLANDA","mes",5,"año",2009)/GETPIVOTDATA("dato",'[1]evolucion mensual nacionali'!$A$4,"indicador","TOTAL","mes",5,"año",2009)</f>
        <v>2.3085926464059409E-2</v>
      </c>
      <c r="J27" s="204">
        <f>GETPIVOTDATA("dato",'[1]evolucion mensual nacionali'!$A$4,"indicador","ITALIA","mes",5,"año",2009)/GETPIVOTDATA("dato",'[1]evolucion mensual nacionali'!$A$4,"indicador","TOTAL","mes",5,"año",2009)</f>
        <v>1.6466884610727692E-2</v>
      </c>
      <c r="K27" s="204">
        <f>(GETPIVOTDATA("dato",'[1]evolucion mensual nacionali'!$A$4,"indicador","SUECIA","mes",5,"año",2009)+GETPIVOTDATA("dato",'[1]evolucion mensual nacionali'!$A$4,"indicador","NORUEGA","mes",5,"año",2009)+GETPIVOTDATA("dato",'[1]evolucion mensual nacionali'!$A$4,"indicador","DINAMARCA","mes",5,"año",2009)+GETPIVOTDATA("dato",'[1]evolucion mensual nacionali'!$A$4,"indicador","FINLANDIA","mes",5,"año",2009))/GETPIVOTDATA("dato",'[1]evolucion mensual nacionali'!$A$4,"indicador","TOTAL","mes",5,"año",2009)</f>
        <v>1.5086572224240223E-2</v>
      </c>
      <c r="L27" s="204">
        <f>GETPIVOTDATA("dato",'[1]evolucion mensual nacionali'!$A$4,"indicador","SUECIA","mes",5,"año",2009)/GETPIVOTDATA("dato",'[1]evolucion mensual nacionali'!$A$4,"indicador","TOTAL","mes",5,"año",2009)</f>
        <v>6.4979618194293091E-3</v>
      </c>
      <c r="M27" s="204">
        <f>GETPIVOTDATA("dato",'[1]evolucion mensual nacionali'!$A$4,"indicador","NORUEGA","mes",5,"año",2009)/GETPIVOTDATA("dato",'[1]evolucion mensual nacionali'!$A$4,"indicador","TOTAL","mes",5,"año",2009)</f>
        <v>5.2468014691044109E-4</v>
      </c>
      <c r="N27" s="204">
        <f>GETPIVOTDATA("dato",'[1]evolucion mensual nacionali'!$A$4,"indicador","DINAMARCA","mes",5,"año",2009)/GETPIVOTDATA("dato",'[1]evolucion mensual nacionali'!$A$4,"indicador","TOTAL","mes",5,"año",2009)</f>
        <v>6.7885539007950923E-3</v>
      </c>
      <c r="O27" s="204">
        <f>GETPIVOTDATA("dato",'[1]evolucion mensual nacionali'!$A$4,"indicador","FINLANDIA","mes",5,"año",2009)/GETPIVOTDATA("dato",'[1]evolucion mensual nacionali'!$A$4,"indicador","TOTAL","mes",5,"año",2009)</f>
        <v>1.2753763571053799E-3</v>
      </c>
      <c r="P27" s="204">
        <f>GETPIVOTDATA("dato",'[1]evolucion mensual nacionali'!$A$4,"indicador","SUIZA","mes",5,"año",2009)/GETPIVOTDATA("dato",'[1]evolucion mensual nacionali'!$A$4,"indicador","TOTAL","mes",5,"año",2009)</f>
        <v>7.4020260725673002E-3</v>
      </c>
      <c r="Q27" s="204">
        <f>GETPIVOTDATA("dato",'[1]evolucion mensual nacionali'!$A$4,"indicador","AUSTRIA","mes",5,"año",2009)/GETPIVOTDATA("dato",'[1]evolucion mensual nacionali'!$A$4,"indicador","TOTAL","mes",5,"año",2009)</f>
        <v>5.2710174758848934E-3</v>
      </c>
      <c r="R27" s="204">
        <f>GETPIVOTDATA("dato",'[1]evolucion mensual nacionali'!$A$4,"indicador","RUSIA","mes",5,"año",2009)/GETPIVOTDATA("dato",'[1]evolucion mensual nacionali'!$A$4,"indicador","TOTAL","mes",5,"año",2009)</f>
        <v>3.6251362150381404E-2</v>
      </c>
      <c r="S27" s="204">
        <f>GETPIVOTDATA("dato",'[1]evolucion mensual nacionali'!$A$4,"indicador","PAÍSES DEL ESTE","mes",5,"año",2009)/GETPIVOTDATA("dato",'[1]evolucion mensual nacionali'!$A$4,"indicador","TOTAL","mes",5,"año",2009)</f>
        <v>2.6823263510513784E-2</v>
      </c>
      <c r="T27" s="204">
        <f>GETPIVOTDATA("dato",'[1]evolucion mensual nacionali'!$A$4,"indicador","RESTO DE EUROPA","mes",5,"año",2009)/GETPIVOTDATA("dato",'[1]evolucion mensual nacionali'!$A$4,"indicador","TOTAL","mes",5,"año",2009)</f>
        <v>1.6184364531622069E-2</v>
      </c>
      <c r="U27" s="204">
        <f>GETPIVOTDATA("dato",'[1]evolucion mensual nacionali'!$A$4,"indicador","USA","mes",5,"año",2009)/GETPIVOTDATA("dato",'[1]evolucion mensual nacionali'!$A$4,"indicador","TOTAL","mes",5,"año",2009)</f>
        <v>1.9049925333979093E-3</v>
      </c>
      <c r="V27" s="204">
        <f>GETPIVOTDATA("dato",'[1]evolucion mensual nacionali'!$A$4,"indicador","RESTO DE AMÉRICA","mes",5,"año",2009)/GETPIVOTDATA("dato",'[1]evolucion mensual nacionali'!$A$4,"indicador","TOTAL","mes",5,"año",2009)</f>
        <v>1.646688461072769E-3</v>
      </c>
      <c r="W27" s="204">
        <f>GETPIVOTDATA("dato",'[1]evolucion mensual nacionali'!$A$4,"indicador","RESTO DEL MUNDO","mes",5,"año",2009)/GETPIVOTDATA("dato",'[1]evolucion mensual nacionali'!$A$4,"indicador","TOTAL","mes",5,"año",2009)</f>
        <v>4.1732251685030475E-3</v>
      </c>
      <c r="X27" s="204">
        <f>(GETPIVOTDATA("dato",'[1]evolucion mensual nacionali'!$A$4,"indicador","TOTAL","mes",5,"año",2009)-GETPIVOTDATA("dato",'[1]evolucion mensual nacionali'!$A$4,"indicador","España","mes",5,"año",2009))/GETPIVOTDATA("dato",'[1]evolucion mensual nacionali'!$A$4,"indicador","TOTAL","mes",5,"año",2009)</f>
        <v>0.7136860798321023</v>
      </c>
      <c r="Y27" s="206">
        <f>GETPIVOTDATA("dato",'[1]evolucion mensual nacionali'!$A$4,"indicador","TOTAL","mes",5,"año",2009)/GETPIVOTDATA("dato",'[1]evolucion mensual nacionali'!$A$4,"indicador","TOTAL","mes",5,"año",2009)</f>
        <v>1</v>
      </c>
    </row>
    <row r="28" spans="2:25" ht="15" hidden="1" customHeight="1" outlineLevel="1">
      <c r="B28" s="51" t="s">
        <v>45</v>
      </c>
      <c r="C28" s="204">
        <f>GETPIVOTDATA("dato",'[1]evolucion mensual nacionali'!$A$4,"indicador","España","mes",4,"año",2009)/GETPIVOTDATA("dato",'[1]evolucion mensual nacionali'!$A$4,"indicador","TOTAL","mes",4,"año",2009)</f>
        <v>0.20138854901522091</v>
      </c>
      <c r="D28" s="204">
        <f>GETPIVOTDATA("dato",'[1]evolucion mensual nacionali'!$A$4,"indicador","HOLANDA","mes",4,"año",2009)/GETPIVOTDATA("dato",'[1]evolucion mensual nacionali'!$A$4,"indicador","TOTAL","mes",4,"año",2009)</f>
        <v>4.3844868451411272E-2</v>
      </c>
      <c r="E28" s="204">
        <f>GETPIVOTDATA("dato",'[1]evolucion mensual nacionali'!$A$4,"indicador","BÉLGICA","mes",4,"año",2009)/GETPIVOTDATA("dato",'[1]evolucion mensual nacionali'!$A$4,"indicador","TOTAL","mes",4,"año",2009)</f>
        <v>4.763436274269893E-2</v>
      </c>
      <c r="F28" s="204">
        <f>GETPIVOTDATA("dato",'[1]evolucion mensual nacionali'!$A$4,"indicador","ALEMANIA","mes",4,"año",2009)/GETPIVOTDATA("dato",'[1]evolucion mensual nacionali'!$A$4,"indicador","TOTAL","mes",4,"año",2009)</f>
        <v>0.14253952051011348</v>
      </c>
      <c r="G28" s="204">
        <f>GETPIVOTDATA("dato",'[1]evolucion mensual nacionali'!$A$4,"indicador","FRANCIA","mes",4,"año",2009)/GETPIVOTDATA("dato",'[1]evolucion mensual nacionali'!$A$4,"indicador","TOTAL","mes",4,"año",2009)</f>
        <v>3.7866976165339412E-2</v>
      </c>
      <c r="H28" s="204">
        <f>GETPIVOTDATA("dato",'[1]evolucion mensual nacionali'!$A$4,"indicador","REINO UNIDO","mes",4,"año",2009)/GETPIVOTDATA("dato",'[1]evolucion mensual nacionali'!$A$4,"indicador","TOTAL","mes",4,"año",2009)</f>
        <v>0.32995168744362952</v>
      </c>
      <c r="I28" s="204">
        <f>GETPIVOTDATA("dato",'[1]evolucion mensual nacionali'!$A$4,"indicador","IRLANDA","mes",4,"año",2009)/GETPIVOTDATA("dato",'[1]evolucion mensual nacionali'!$A$4,"indicador","TOTAL","mes",4,"año",2009)</f>
        <v>2.1373586805288513E-2</v>
      </c>
      <c r="J28" s="204">
        <f>GETPIVOTDATA("dato",'[1]evolucion mensual nacionali'!$A$4,"indicador","ITALIA","mes",4,"año",2009)/GETPIVOTDATA("dato",'[1]evolucion mensual nacionali'!$A$4,"indicador","TOTAL","mes",4,"año",2009)</f>
        <v>1.9674606892404932E-2</v>
      </c>
      <c r="K28" s="204">
        <f>(GETPIVOTDATA("dato",'[1]evolucion mensual nacionali'!$A$4,"indicador","SUECIA","mes",4,"año",2009)+GETPIVOTDATA("dato",'[1]evolucion mensual nacionali'!$A$4,"indicador","NORUEGA","mes",4,"año",2009)+GETPIVOTDATA("dato",'[1]evolucion mensual nacionali'!$A$4,"indicador","DINAMARCA","mes",4,"año",2009)+GETPIVOTDATA("dato",'[1]evolucion mensual nacionali'!$A$4,"indicador","FINLANDIA","mes",4,"año",2009))/GETPIVOTDATA("dato",'[1]evolucion mensual nacionali'!$A$4,"indicador","TOTAL","mes",4,"año",2009)</f>
        <v>6.0254357568850635E-2</v>
      </c>
      <c r="L28" s="204">
        <f>GETPIVOTDATA("dato",'[1]evolucion mensual nacionali'!$A$4,"indicador","SUECIA","mes",4,"año",2009)/GETPIVOTDATA("dato",'[1]evolucion mensual nacionali'!$A$4,"indicador","TOTAL","mes",4,"año",2009)</f>
        <v>2.3331259132890993E-2</v>
      </c>
      <c r="M28" s="204">
        <f>GETPIVOTDATA("dato",'[1]evolucion mensual nacionali'!$A$4,"indicador","NORUEGA","mes",4,"año",2009)/GETPIVOTDATA("dato",'[1]evolucion mensual nacionali'!$A$4,"indicador","TOTAL","mes",4,"año",2009)</f>
        <v>9.6904780216322799E-3</v>
      </c>
      <c r="N28" s="204">
        <f>GETPIVOTDATA("dato",'[1]evolucion mensual nacionali'!$A$4,"indicador","DINAMARCA","mes",4,"año",2009)/GETPIVOTDATA("dato",'[1]evolucion mensual nacionali'!$A$4,"indicador","TOTAL","mes",4,"año",2009)</f>
        <v>1.614380501583617E-2</v>
      </c>
      <c r="O28" s="204">
        <f>GETPIVOTDATA("dato",'[1]evolucion mensual nacionali'!$A$4,"indicador","FINLANDIA","mes",4,"año",2009)/GETPIVOTDATA("dato",'[1]evolucion mensual nacionali'!$A$4,"indicador","TOTAL","mes",4,"año",2009)</f>
        <v>1.1088815398491193E-2</v>
      </c>
      <c r="P28" s="204">
        <f>GETPIVOTDATA("dato",'[1]evolucion mensual nacionali'!$A$4,"indicador","SUIZA","mes",4,"año",2009)/GETPIVOTDATA("dato",'[1]evolucion mensual nacionali'!$A$4,"indicador","TOTAL","mes",4,"año",2009)</f>
        <v>7.4181797842365425E-3</v>
      </c>
      <c r="Q28" s="204">
        <f>GETPIVOTDATA("dato",'[1]evolucion mensual nacionali'!$A$4,"indicador","AUSTRIA","mes",4,"año",2009)/GETPIVOTDATA("dato",'[1]evolucion mensual nacionali'!$A$4,"indicador","TOTAL","mes",4,"año",2009)</f>
        <v>7.6419137645339693E-3</v>
      </c>
      <c r="R28" s="204">
        <f>GETPIVOTDATA("dato",'[1]evolucion mensual nacionali'!$A$4,"indicador","RUSIA","mes",4,"año",2009)/GETPIVOTDATA("dato",'[1]evolucion mensual nacionali'!$A$4,"indicador","TOTAL","mes",4,"año",2009)</f>
        <v>2.0723359925049117E-2</v>
      </c>
      <c r="S28" s="204">
        <f>GETPIVOTDATA("dato",'[1]evolucion mensual nacionali'!$A$4,"indicador","PAÍSES DEL ESTE","mes",4,"año",2009)/GETPIVOTDATA("dato",'[1]evolucion mensual nacionali'!$A$4,"indicador","TOTAL","mes",4,"año",2009)</f>
        <v>2.6771169079963922E-2</v>
      </c>
      <c r="T28" s="204">
        <f>GETPIVOTDATA("dato",'[1]evolucion mensual nacionali'!$A$4,"indicador","RESTO DE EUROPA","mes",4,"año",2009)/GETPIVOTDATA("dato",'[1]evolucion mensual nacionali'!$A$4,"indicador","TOTAL","mes",4,"año",2009)</f>
        <v>2.2065763806833675E-2</v>
      </c>
      <c r="U28" s="204">
        <f>GETPIVOTDATA("dato",'[1]evolucion mensual nacionali'!$A$4,"indicador","USA","mes",4,"año",2009)/GETPIVOTDATA("dato",'[1]evolucion mensual nacionali'!$A$4,"indicador","TOTAL","mes",4,"año",2009)</f>
        <v>2.9504918651723101E-3</v>
      </c>
      <c r="V28" s="204">
        <f>GETPIVOTDATA("dato",'[1]evolucion mensual nacionali'!$A$4,"indicador","RESTO DE AMÉRICA","mes",4,"año",2009)/GETPIVOTDATA("dato",'[1]evolucion mensual nacionali'!$A$4,"indicador","TOTAL","mes",4,"año",2009)</f>
        <v>4.0971285141966204E-3</v>
      </c>
      <c r="W28" s="204">
        <f>GETPIVOTDATA("dato",'[1]evolucion mensual nacionali'!$A$4,"indicador","RESTO DEL MUNDO","mes",4,"año",2009)/GETPIVOTDATA("dato",'[1]evolucion mensual nacionali'!$A$4,"indicador","TOTAL","mes",4,"año",2009)</f>
        <v>3.8034776650562479E-3</v>
      </c>
      <c r="X28" s="204">
        <f>(GETPIVOTDATA("dato",'[1]evolucion mensual nacionali'!$A$4,"indicador","TOTAL","mes",4,"año",2009)-GETPIVOTDATA("dato",'[1]evolucion mensual nacionali'!$A$4,"indicador","España","mes",4,"año",2009))/GETPIVOTDATA("dato",'[1]evolucion mensual nacionali'!$A$4,"indicador","TOTAL","mes",4,"año",2009)</f>
        <v>0.79861145098477915</v>
      </c>
      <c r="Y28" s="206">
        <f>GETPIVOTDATA("dato",'[1]evolucion mensual nacionali'!$A$4,"indicador","TOTAL","mes",4,"año",2009)/GETPIVOTDATA("dato",'[1]evolucion mensual nacionali'!$A$4,"indicador","TOTAL","mes",4,"año",2009)</f>
        <v>1</v>
      </c>
    </row>
    <row r="29" spans="2:25" ht="15" hidden="1" customHeight="1" outlineLevel="1">
      <c r="B29" s="51" t="s">
        <v>46</v>
      </c>
      <c r="C29" s="204">
        <f>GETPIVOTDATA("dato",'[1]evolucion mensual nacionali'!$A$4,"indicador","España","mes",3,"año",2009)/GETPIVOTDATA("dato",'[1]evolucion mensual nacionali'!$A$4,"indicador","TOTAL","mes",3,"año",2009)</f>
        <v>0.11479888355013289</v>
      </c>
      <c r="D29" s="204">
        <f>GETPIVOTDATA("dato",'[1]evolucion mensual nacionali'!$A$4,"indicador","HOLANDA","mes",3,"año",2009)/GETPIVOTDATA("dato",'[1]evolucion mensual nacionali'!$A$4,"indicador","TOTAL","mes",3,"año",2009)</f>
        <v>3.6854691236460825E-2</v>
      </c>
      <c r="E29" s="204">
        <f>GETPIVOTDATA("dato",'[1]evolucion mensual nacionali'!$A$4,"indicador","BÉLGICA","mes",3,"año",2009)/GETPIVOTDATA("dato",'[1]evolucion mensual nacionali'!$A$4,"indicador","TOTAL","mes",3,"año",2009)</f>
        <v>3.3219566006026463E-2</v>
      </c>
      <c r="F29" s="204">
        <f>GETPIVOTDATA("dato",'[1]evolucion mensual nacionali'!$A$4,"indicador","ALEMANIA","mes",3,"año",2009)/GETPIVOTDATA("dato",'[1]evolucion mensual nacionali'!$A$4,"indicador","TOTAL","mes",3,"año",2009)</f>
        <v>0.14021514610834301</v>
      </c>
      <c r="G29" s="204">
        <f>GETPIVOTDATA("dato",'[1]evolucion mensual nacionali'!$A$4,"indicador","FRANCIA","mes",3,"año",2009)/GETPIVOTDATA("dato",'[1]evolucion mensual nacionali'!$A$4,"indicador","TOTAL","mes",3,"año",2009)</f>
        <v>2.8540545342819704E-2</v>
      </c>
      <c r="H29" s="204">
        <f>GETPIVOTDATA("dato",'[1]evolucion mensual nacionali'!$A$4,"indicador","REINO UNIDO","mes",3,"año",2009)/GETPIVOTDATA("dato",'[1]evolucion mensual nacionali'!$A$4,"indicador","TOTAL","mes",3,"año",2009)</f>
        <v>0.3496975664650443</v>
      </c>
      <c r="I29" s="204">
        <f>GETPIVOTDATA("dato",'[1]evolucion mensual nacionali'!$A$4,"indicador","IRLANDA","mes",3,"año",2009)/GETPIVOTDATA("dato",'[1]evolucion mensual nacionali'!$A$4,"indicador","TOTAL","mes",3,"año",2009)</f>
        <v>2.6615631778842238E-2</v>
      </c>
      <c r="J29" s="204">
        <f>GETPIVOTDATA("dato",'[1]evolucion mensual nacionali'!$A$4,"indicador","ITALIA","mes",3,"año",2009)/GETPIVOTDATA("dato",'[1]evolucion mensual nacionali'!$A$4,"indicador","TOTAL","mes",3,"año",2009)</f>
        <v>2.4290928474654069E-2</v>
      </c>
      <c r="K29" s="204">
        <f>(GETPIVOTDATA("dato",'[1]evolucion mensual nacionali'!$A$4,"indicador","SUECIA","mes",3,"año",2009)+GETPIVOTDATA("dato",'[1]evolucion mensual nacionali'!$A$4,"indicador","NORUEGA","mes",3,"año",2009)+GETPIVOTDATA("dato",'[1]evolucion mensual nacionali'!$A$4,"indicador","DINAMARCA","mes",3,"año",2009)+GETPIVOTDATA("dato",'[1]evolucion mensual nacionali'!$A$4,"indicador","FINLANDIA","mes",3,"año",2009))/GETPIVOTDATA("dato",'[1]evolucion mensual nacionali'!$A$4,"indicador","TOTAL","mes",3,"año",2009)</f>
        <v>0.1530898564458692</v>
      </c>
      <c r="L29" s="204">
        <f>GETPIVOTDATA("dato",'[1]evolucion mensual nacionali'!$A$4,"indicador","SUECIA","mes",3,"año",2009)/GETPIVOTDATA("dato",'[1]evolucion mensual nacionali'!$A$4,"indicador","TOTAL","mes",3,"año",2009)</f>
        <v>4.778968098259434E-2</v>
      </c>
      <c r="M29" s="204">
        <f>GETPIVOTDATA("dato",'[1]evolucion mensual nacionali'!$A$4,"indicador","NORUEGA","mes",3,"año",2009)/GETPIVOTDATA("dato",'[1]evolucion mensual nacionali'!$A$4,"indicador","TOTAL","mes",3,"año",2009)</f>
        <v>3.1035529462282798E-2</v>
      </c>
      <c r="N29" s="204">
        <f>GETPIVOTDATA("dato",'[1]evolucion mensual nacionali'!$A$4,"indicador","DINAMARCA","mes",3,"año",2009)/GETPIVOTDATA("dato",'[1]evolucion mensual nacionali'!$A$4,"indicador","TOTAL","mes",3,"año",2009)</f>
        <v>4.738248772867603E-2</v>
      </c>
      <c r="O29" s="204">
        <f>GETPIVOTDATA("dato",'[1]evolucion mensual nacionali'!$A$4,"indicador","FINLANDIA","mes",3,"año",2009)/GETPIVOTDATA("dato",'[1]evolucion mensual nacionali'!$A$4,"indicador","TOTAL","mes",3,"año",2009)</f>
        <v>2.6882158272316041E-2</v>
      </c>
      <c r="P29" s="204">
        <f>GETPIVOTDATA("dato",'[1]evolucion mensual nacionali'!$A$4,"indicador","SUIZA","mes",3,"año",2009)/GETPIVOTDATA("dato",'[1]evolucion mensual nacionali'!$A$4,"indicador","TOTAL","mes",3,"año",2009)</f>
        <v>7.8551280437695725E-3</v>
      </c>
      <c r="Q29" s="204">
        <f>GETPIVOTDATA("dato",'[1]evolucion mensual nacionali'!$A$4,"indicador","AUSTRIA","mes",3,"año",2009)/GETPIVOTDATA("dato",'[1]evolucion mensual nacionali'!$A$4,"indicador","TOTAL","mes",3,"año",2009)</f>
        <v>5.4563896025053493E-3</v>
      </c>
      <c r="R29" s="204">
        <f>GETPIVOTDATA("dato",'[1]evolucion mensual nacionali'!$A$4,"indicador","RUSIA","mes",3,"año",2009)/GETPIVOTDATA("dato",'[1]evolucion mensual nacionali'!$A$4,"indicador","TOTAL","mes",3,"año",2009)</f>
        <v>2.0803873518371818E-2</v>
      </c>
      <c r="S29" s="204">
        <f>GETPIVOTDATA("dato",'[1]evolucion mensual nacionali'!$A$4,"indicador","PAÍSES DEL ESTE","mes",3,"año",2009)/GETPIVOTDATA("dato",'[1]evolucion mensual nacionali'!$A$4,"indicador","TOTAL","mes",3,"año",2009)</f>
        <v>3.0184125385908152E-2</v>
      </c>
      <c r="T29" s="204">
        <f>GETPIVOTDATA("dato",'[1]evolucion mensual nacionali'!$A$4,"indicador","RESTO DE EUROPA","mes",3,"año",2009)/GETPIVOTDATA("dato",'[1]evolucion mensual nacionali'!$A$4,"indicador","TOTAL","mes",3,"año",2009)</f>
        <v>2.0544750538605622E-2</v>
      </c>
      <c r="U29" s="204">
        <f>GETPIVOTDATA("dato",'[1]evolucion mensual nacionali'!$A$4,"indicador","USA","mes",3,"año",2009)/GETPIVOTDATA("dato",'[1]evolucion mensual nacionali'!$A$4,"indicador","TOTAL","mes",3,"año",2009)</f>
        <v>1.6287730156732386E-3</v>
      </c>
      <c r="V29" s="204">
        <f>GETPIVOTDATA("dato",'[1]evolucion mensual nacionali'!$A$4,"indicador","RESTO DE AMÉRICA","mes",3,"año",2009)/GETPIVOTDATA("dato",'[1]evolucion mensual nacionali'!$A$4,"indicador","TOTAL","mes",3,"año",2009)</f>
        <v>1.1919657069245065E-3</v>
      </c>
      <c r="W29" s="204">
        <f>GETPIVOTDATA("dato",'[1]evolucion mensual nacionali'!$A$4,"indicador","RESTO DEL MUNDO","mes",3,"año",2009)/GETPIVOTDATA("dato",'[1]evolucion mensual nacionali'!$A$4,"indicador","TOTAL","mes",3,"año",2009)</f>
        <v>5.0121787800490114E-3</v>
      </c>
      <c r="X29" s="204">
        <f>(GETPIVOTDATA("dato",'[1]evolucion mensual nacionali'!$A$4,"indicador","TOTAL","mes",3,"año",2009)-GETPIVOTDATA("dato",'[1]evolucion mensual nacionali'!$A$4,"indicador","España","mes",3,"año",2009))/GETPIVOTDATA("dato",'[1]evolucion mensual nacionali'!$A$4,"indicador","TOTAL","mes",3,"año",2009)</f>
        <v>0.8852011164498671</v>
      </c>
      <c r="Y29" s="206">
        <f>GETPIVOTDATA("dato",'[1]evolucion mensual nacionali'!$A$4,"indicador","TOTAL","mes",3,"año",2009)/GETPIVOTDATA("dato",'[1]evolucion mensual nacionali'!$A$4,"indicador","TOTAL","mes",3,"año",2009)</f>
        <v>1</v>
      </c>
    </row>
    <row r="30" spans="2:25" ht="15" hidden="1" customHeight="1" outlineLevel="1">
      <c r="B30" s="51" t="s">
        <v>47</v>
      </c>
      <c r="C30" s="204">
        <f>GETPIVOTDATA("dato",'[1]evolucion mensual nacionali'!$A$4,"indicador","España","mes",2,"año",2009)/GETPIVOTDATA("dato",'[1]evolucion mensual nacionali'!$A$4,"indicador","TOTAL","mes",2,"año",2009)</f>
        <v>0.11411743602009089</v>
      </c>
      <c r="D30" s="204">
        <f>GETPIVOTDATA("dato",'[1]evolucion mensual nacionali'!$A$4,"indicador","HOLANDA","mes",2,"año",2009)/GETPIVOTDATA("dato",'[1]evolucion mensual nacionali'!$A$4,"indicador","TOTAL","mes",2,"año",2009)</f>
        <v>4.3373295862233915E-2</v>
      </c>
      <c r="E30" s="204">
        <f>GETPIVOTDATA("dato",'[1]evolucion mensual nacionali'!$A$4,"indicador","BÉLGICA","mes",2,"año",2009)/GETPIVOTDATA("dato",'[1]evolucion mensual nacionali'!$A$4,"indicador","TOTAL","mes",2,"año",2009)</f>
        <v>3.5413178665391051E-2</v>
      </c>
      <c r="F30" s="204">
        <f>GETPIVOTDATA("dato",'[1]evolucion mensual nacionali'!$A$4,"indicador","ALEMANIA","mes",2,"año",2009)/GETPIVOTDATA("dato",'[1]evolucion mensual nacionali'!$A$4,"indicador","TOTAL","mes",2,"año",2009)</f>
        <v>0.1325938770629036</v>
      </c>
      <c r="G30" s="204">
        <f>GETPIVOTDATA("dato",'[1]evolucion mensual nacionali'!$A$4,"indicador","FRANCIA","mes",2,"año",2009)/GETPIVOTDATA("dato",'[1]evolucion mensual nacionali'!$A$4,"indicador","TOTAL","mes",2,"año",2009)</f>
        <v>3.4164972494618515E-2</v>
      </c>
      <c r="H30" s="204">
        <f>GETPIVOTDATA("dato",'[1]evolucion mensual nacionali'!$A$4,"indicador","REINO UNIDO","mes",2,"año",2009)/GETPIVOTDATA("dato",'[1]evolucion mensual nacionali'!$A$4,"indicador","TOTAL","mes",2,"año",2009)</f>
        <v>0.3543634895957905</v>
      </c>
      <c r="I30" s="204">
        <f>GETPIVOTDATA("dato",'[1]evolucion mensual nacionali'!$A$4,"indicador","IRLANDA","mes",2,"año",2009)/GETPIVOTDATA("dato",'[1]evolucion mensual nacionali'!$A$4,"indicador","TOTAL","mes",2,"año",2009)</f>
        <v>2.8462090408993064E-2</v>
      </c>
      <c r="J30" s="204">
        <f>GETPIVOTDATA("dato",'[1]evolucion mensual nacionali'!$A$4,"indicador","ITALIA","mes",2,"año",2009)/GETPIVOTDATA("dato",'[1]evolucion mensual nacionali'!$A$4,"indicador","TOTAL","mes",2,"año",2009)</f>
        <v>2.991210236785458E-2</v>
      </c>
      <c r="K30" s="204">
        <f>(GETPIVOTDATA("dato",'[1]evolucion mensual nacionali'!$A$4,"indicador","SUECIA","mes",2,"año",2009)+GETPIVOTDATA("dato",'[1]evolucion mensual nacionali'!$A$4,"indicador","NORUEGA","mes",2,"año",2009)+GETPIVOTDATA("dato",'[1]evolucion mensual nacionali'!$A$4,"indicador","DINAMARCA","mes",2,"año",2009)+GETPIVOTDATA("dato",'[1]evolucion mensual nacionali'!$A$4,"indicador","FINLANDIA","mes",2,"año",2009))/GETPIVOTDATA("dato",'[1]evolucion mensual nacionali'!$A$4,"indicador","TOTAL","mes",2,"año",2009)</f>
        <v>0.14280375508251614</v>
      </c>
      <c r="L30" s="204">
        <f>GETPIVOTDATA("dato",'[1]evolucion mensual nacionali'!$A$4,"indicador","SUECIA","mes",2,"año",2009)/GETPIVOTDATA("dato",'[1]evolucion mensual nacionali'!$A$4,"indicador","TOTAL","mes",2,"año",2009)</f>
        <v>4.317149007414494E-2</v>
      </c>
      <c r="M30" s="204">
        <f>GETPIVOTDATA("dato",'[1]evolucion mensual nacionali'!$A$4,"indicador","NORUEGA","mes",2,"año",2009)/GETPIVOTDATA("dato",'[1]evolucion mensual nacionali'!$A$4,"indicador","TOTAL","mes",2,"año",2009)</f>
        <v>2.8439667543649846E-2</v>
      </c>
      <c r="N30" s="204">
        <f>GETPIVOTDATA("dato",'[1]evolucion mensual nacionali'!$A$4,"indicador","DINAMARCA","mes",2,"año",2009)/GETPIVOTDATA("dato",'[1]evolucion mensual nacionali'!$A$4,"indicador","TOTAL","mes",2,"año",2009)</f>
        <v>4.6430279837359485E-2</v>
      </c>
      <c r="O30" s="204">
        <f>GETPIVOTDATA("dato",'[1]evolucion mensual nacionali'!$A$4,"indicador","FINLANDIA","mes",2,"año",2009)/GETPIVOTDATA("dato",'[1]evolucion mensual nacionali'!$A$4,"indicador","TOTAL","mes",2,"año",2009)</f>
        <v>2.4762317627361877E-2</v>
      </c>
      <c r="P30" s="204">
        <f>GETPIVOTDATA("dato",'[1]evolucion mensual nacionali'!$A$4,"indicador","SUIZA","mes",2,"año",2009)/GETPIVOTDATA("dato",'[1]evolucion mensual nacionali'!$A$4,"indicador","TOTAL","mes",2,"año",2009)</f>
        <v>7.3696484094714181E-3</v>
      </c>
      <c r="Q30" s="204">
        <f>GETPIVOTDATA("dato",'[1]evolucion mensual nacionali'!$A$4,"indicador","AUSTRIA","mes",2,"año",2009)/GETPIVOTDATA("dato",'[1]evolucion mensual nacionali'!$A$4,"indicador","TOTAL","mes",2,"año",2009)</f>
        <v>8.004962927529299E-3</v>
      </c>
      <c r="R30" s="204">
        <f>GETPIVOTDATA("dato",'[1]evolucion mensual nacionali'!$A$4,"indicador","RUSIA","mes",2,"año",2009)/GETPIVOTDATA("dato",'[1]evolucion mensual nacionali'!$A$4,"indicador","TOTAL","mes",2,"año",2009)</f>
        <v>1.3932073666586942E-2</v>
      </c>
      <c r="S30" s="204">
        <f>GETPIVOTDATA("dato",'[1]evolucion mensual nacionali'!$A$4,"indicador","PAÍSES DEL ESTE","mes",2,"año",2009)/GETPIVOTDATA("dato",'[1]evolucion mensual nacionali'!$A$4,"indicador","TOTAL","mes",2,"año",2009)</f>
        <v>2.6892489834967712E-2</v>
      </c>
      <c r="T30" s="204">
        <f>GETPIVOTDATA("dato",'[1]evolucion mensual nacionali'!$A$4,"indicador","RESTO DE EUROPA","mes",2,"año",2009)/GETPIVOTDATA("dato",'[1]evolucion mensual nacionali'!$A$4,"indicador","TOTAL","mes",2,"año",2009)</f>
        <v>2.1383939248983498E-2</v>
      </c>
      <c r="U30" s="204">
        <f>GETPIVOTDATA("dato",'[1]evolucion mensual nacionali'!$A$4,"indicador","USA","mes",2,"año",2009)/GETPIVOTDATA("dato",'[1]evolucion mensual nacionali'!$A$4,"indicador","TOTAL","mes",2,"año",2009)</f>
        <v>1.8312006696962449E-3</v>
      </c>
      <c r="V30" s="204">
        <f>GETPIVOTDATA("dato",'[1]evolucion mensual nacionali'!$A$4,"indicador","RESTO DE AMÉRICA","mes",2,"año",2009)/GETPIVOTDATA("dato",'[1]evolucion mensual nacionali'!$A$4,"indicador","TOTAL","mes",2,"año",2009)</f>
        <v>1.6368691700550109E-3</v>
      </c>
      <c r="W30" s="204">
        <f>GETPIVOTDATA("dato",'[1]evolucion mensual nacionali'!$A$4,"indicador","RESTO DEL MUNDO","mes",2,"año",2009)/GETPIVOTDATA("dato",'[1]evolucion mensual nacionali'!$A$4,"indicador","TOTAL","mes",2,"año",2009)</f>
        <v>3.7446185123176275E-3</v>
      </c>
      <c r="X30" s="204">
        <f>(GETPIVOTDATA("dato",'[1]evolucion mensual nacionali'!$A$4,"indicador","TOTAL","mes",2,"año",2009)-GETPIVOTDATA("dato",'[1]evolucion mensual nacionali'!$A$4,"indicador","España","mes",2,"año",2009))/GETPIVOTDATA("dato",'[1]evolucion mensual nacionali'!$A$4,"indicador","TOTAL","mes",2,"año",2009)</f>
        <v>0.88588256397990917</v>
      </c>
      <c r="Y30" s="206">
        <f>GETPIVOTDATA("dato",'[1]evolucion mensual nacionali'!$A$4,"indicador","TOTAL","mes",2,"año",2009)/GETPIVOTDATA("dato",'[1]evolucion mensual nacionali'!$A$4,"indicador","TOTAL","mes",2,"año",2009)</f>
        <v>1</v>
      </c>
    </row>
    <row r="31" spans="2:25" ht="15" hidden="1" customHeight="1" outlineLevel="1">
      <c r="B31" s="51" t="s">
        <v>48</v>
      </c>
      <c r="C31" s="204">
        <f>GETPIVOTDATA("dato",'[1]evolucion mensual nacionali'!$A$4,"indicador","España","mes",1,"año",2009)/GETPIVOTDATA("dato",'[1]evolucion mensual nacionali'!$A$4,"indicador","TOTAL","mes",1,"año",2009)</f>
        <v>0.1248093058733791</v>
      </c>
      <c r="D31" s="204">
        <f>GETPIVOTDATA("dato",'[1]evolucion mensual nacionali'!$A$4,"indicador","HOLANDA","mes",1,"año",2009)/GETPIVOTDATA("dato",'[1]evolucion mensual nacionali'!$A$4,"indicador","TOTAL","mes",1,"año",2009)</f>
        <v>3.3525494337851319E-2</v>
      </c>
      <c r="E31" s="204">
        <f>GETPIVOTDATA("dato",'[1]evolucion mensual nacionali'!$A$4,"indicador","BÉLGICA","mes",1,"año",2009)/GETPIVOTDATA("dato",'[1]evolucion mensual nacionali'!$A$4,"indicador","TOTAL","mes",1,"año",2009)</f>
        <v>4.5546558704453441E-2</v>
      </c>
      <c r="F31" s="204">
        <f>GETPIVOTDATA("dato",'[1]evolucion mensual nacionali'!$A$4,"indicador","ALEMANIA","mes",1,"año",2009)/GETPIVOTDATA("dato",'[1]evolucion mensual nacionali'!$A$4,"indicador","TOTAL","mes",1,"año",2009)</f>
        <v>0.14472950771577775</v>
      </c>
      <c r="G31" s="204">
        <f>GETPIVOTDATA("dato",'[1]evolucion mensual nacionali'!$A$4,"indicador","FRANCIA","mes",1,"año",2009)/GETPIVOTDATA("dato",'[1]evolucion mensual nacionali'!$A$4,"indicador","TOTAL","mes",1,"año",2009)</f>
        <v>2.6704512116411429E-2</v>
      </c>
      <c r="H31" s="204">
        <f>GETPIVOTDATA("dato",'[1]evolucion mensual nacionali'!$A$4,"indicador","REINO UNIDO","mes",1,"año",2009)/GETPIVOTDATA("dato",'[1]evolucion mensual nacionali'!$A$4,"indicador","TOTAL","mes",1,"año",2009)</f>
        <v>0.32211905181012734</v>
      </c>
      <c r="I31" s="204">
        <f>GETPIVOTDATA("dato",'[1]evolucion mensual nacionali'!$A$4,"indicador","IRLANDA","mes",1,"año",2009)/GETPIVOTDATA("dato",'[1]evolucion mensual nacionali'!$A$4,"indicador","TOTAL","mes",1,"año",2009)</f>
        <v>2.8501437540339142E-2</v>
      </c>
      <c r="J31" s="204">
        <f>GETPIVOTDATA("dato",'[1]evolucion mensual nacionali'!$A$4,"indicador","ITALIA","mes",1,"año",2009)/GETPIVOTDATA("dato",'[1]evolucion mensual nacionali'!$A$4,"indicador","TOTAL","mes",1,"año",2009)</f>
        <v>3.5989849204952178E-2</v>
      </c>
      <c r="K31" s="204">
        <f>(GETPIVOTDATA("dato",'[1]evolucion mensual nacionali'!$A$4,"indicador","SUECIA","mes",1,"año",2009)+GETPIVOTDATA("dato",'[1]evolucion mensual nacionali'!$A$4,"indicador","NORUEGA","mes",1,"año",2009)+GETPIVOTDATA("dato",'[1]evolucion mensual nacionali'!$A$4,"indicador","DINAMARCA","mes",1,"año",2009)+GETPIVOTDATA("dato",'[1]evolucion mensual nacionali'!$A$4,"indicador","FINLANDIA","mes",1,"año",2009))/GETPIVOTDATA("dato",'[1]evolucion mensual nacionali'!$A$4,"indicador","TOTAL","mes",1,"año",2009)</f>
        <v>0.13534882356392655</v>
      </c>
      <c r="L31" s="204">
        <f>GETPIVOTDATA("dato",'[1]evolucion mensual nacionali'!$A$4,"indicador","SUECIA","mes",1,"año",2009)/GETPIVOTDATA("dato",'[1]evolucion mensual nacionali'!$A$4,"indicador","TOTAL","mes",1,"año",2009)</f>
        <v>4.5025817050988674E-2</v>
      </c>
      <c r="M31" s="204">
        <f>GETPIVOTDATA("dato",'[1]evolucion mensual nacionali'!$A$4,"indicador","NORUEGA","mes",1,"año",2009)/GETPIVOTDATA("dato",'[1]evolucion mensual nacionali'!$A$4,"indicador","TOTAL","mes",1,"año",2009)</f>
        <v>2.2589919615091238E-2</v>
      </c>
      <c r="N31" s="204">
        <f>GETPIVOTDATA("dato",'[1]evolucion mensual nacionali'!$A$4,"indicador","DINAMARCA","mes",1,"año",2009)/GETPIVOTDATA("dato",'[1]evolucion mensual nacionali'!$A$4,"indicador","TOTAL","mes",1,"año",2009)</f>
        <v>4.4241037376048821E-2</v>
      </c>
      <c r="O31" s="204">
        <f>GETPIVOTDATA("dato",'[1]evolucion mensual nacionali'!$A$4,"indicador","FINLANDIA","mes",1,"año",2009)/GETPIVOTDATA("dato",'[1]evolucion mensual nacionali'!$A$4,"indicador","TOTAL","mes",1,"año",2009)</f>
        <v>2.3492049521797804E-2</v>
      </c>
      <c r="P31" s="204">
        <f>GETPIVOTDATA("dato",'[1]evolucion mensual nacionali'!$A$4,"indicador","SUIZA","mes",1,"año",2009)/GETPIVOTDATA("dato",'[1]evolucion mensual nacionali'!$A$4,"indicador","TOTAL","mes",1,"año",2009)</f>
        <v>6.2195622836355106E-3</v>
      </c>
      <c r="Q31" s="204">
        <f>GETPIVOTDATA("dato",'[1]evolucion mensual nacionali'!$A$4,"indicador","AUSTRIA","mes",1,"año",2009)/GETPIVOTDATA("dato",'[1]evolucion mensual nacionali'!$A$4,"indicador","TOTAL","mes",1,"año",2009)</f>
        <v>1.0158129437305638E-2</v>
      </c>
      <c r="R31" s="204">
        <f>GETPIVOTDATA("dato",'[1]evolucion mensual nacionali'!$A$4,"indicador","RUSIA","mes",1,"año",2009)/GETPIVOTDATA("dato",'[1]evolucion mensual nacionali'!$A$4,"indicador","TOTAL","mes",1,"año",2009)</f>
        <v>2.841342486651411E-2</v>
      </c>
      <c r="S31" s="204">
        <f>GETPIVOTDATA("dato",'[1]evolucion mensual nacionali'!$A$4,"indicador","PAÍSES DEL ESTE","mes",1,"año",2009)/GETPIVOTDATA("dato",'[1]evolucion mensual nacionali'!$A$4,"indicador","TOTAL","mes",1,"año",2009)</f>
        <v>2.9520917678812417E-2</v>
      </c>
      <c r="T31" s="204">
        <f>GETPIVOTDATA("dato",'[1]evolucion mensual nacionali'!$A$4,"indicador","RESTO DE EUROPA","mes",1,"año",2009)/GETPIVOTDATA("dato",'[1]evolucion mensual nacionali'!$A$4,"indicador","TOTAL","mes",1,"año",2009)</f>
        <v>1.9274775567681746E-2</v>
      </c>
      <c r="U31" s="204">
        <f>GETPIVOTDATA("dato",'[1]evolucion mensual nacionali'!$A$4,"indicador","USA","mes",1,"año",2009)/GETPIVOTDATA("dato",'[1]evolucion mensual nacionali'!$A$4,"indicador","TOTAL","mes",1,"año",2009)</f>
        <v>1.3715308337733966E-3</v>
      </c>
      <c r="V31" s="204">
        <f>GETPIVOTDATA("dato",'[1]evolucion mensual nacionali'!$A$4,"indicador","RESTO DE AMÉRICA","mes",1,"año",2009)/GETPIVOTDATA("dato",'[1]evolucion mensual nacionali'!$A$4,"indicador","TOTAL","mes",1,"año",2009)</f>
        <v>1.9289444346652584E-3</v>
      </c>
      <c r="W31" s="204">
        <f>GETPIVOTDATA("dato",'[1]evolucion mensual nacionali'!$A$4,"indicador","RESTO DEL MUNDO","mes",1,"año",2009)/GETPIVOTDATA("dato",'[1]evolucion mensual nacionali'!$A$4,"indicador","TOTAL","mes",1,"año",2009)</f>
        <v>5.8381740303937099E-3</v>
      </c>
      <c r="X31" s="204">
        <f>(GETPIVOTDATA("dato",'[1]evolucion mensual nacionali'!$A$4,"indicador","TOTAL","mes",1,"año",2009)-GETPIVOTDATA("dato",'[1]evolucion mensual nacionali'!$A$4,"indicador","España","mes",1,"año",2009))/GETPIVOTDATA("dato",'[1]evolucion mensual nacionali'!$A$4,"indicador","TOTAL","mes",1,"año",2009)</f>
        <v>0.87519069412662087</v>
      </c>
      <c r="Y31" s="206">
        <f>GETPIVOTDATA("dato",'[1]evolucion mensual nacionali'!$A$4,"indicador","TOTAL","mes",1,"año",2009)/GETPIVOTDATA("dato",'[1]evolucion mensual nacionali'!$A$4,"indicador","TOTAL","mes",1,"año",2009)</f>
        <v>1</v>
      </c>
    </row>
    <row r="32" spans="2:25" collapsed="1">
      <c r="B32" s="210">
        <v>2009</v>
      </c>
      <c r="C32" s="212">
        <f>GETPIVOTDATA("dato",'[1]evolucion mensual nacionali'!$A$4,"indicador","España","año",2009)/GETPIVOTDATA("dato",'[1]evolucion mensual nacionali'!$A$4,"indicador","TOTAL","año",2009)</f>
        <v>0.22253856962058324</v>
      </c>
      <c r="D32" s="212">
        <f>GETPIVOTDATA("dato",'[1]evolucion mensual nacionali'!$A$4,"indicador","HOLANDA","año",2009)/GETPIVOTDATA("dato",'[1]evolucion mensual nacionali'!$A$4,"indicador","TOTAL","año",2009)</f>
        <v>3.5894413143233814E-2</v>
      </c>
      <c r="E32" s="212">
        <f>GETPIVOTDATA("dato",'[1]evolucion mensual nacionali'!$A$4,"indicador","BÉLGICA","año",2009)/GETPIVOTDATA("dato",'[1]evolucion mensual nacionali'!$A$4,"indicador","TOTAL","año",2009)</f>
        <v>3.6986569688501912E-2</v>
      </c>
      <c r="F32" s="212">
        <f>GETPIVOTDATA("dato",'[1]evolucion mensual nacionali'!$A$4,"indicador","ALEMANIA","año",2009)/GETPIVOTDATA("dato",'[1]evolucion mensual nacionali'!$A$4,"indicador","TOTAL","año",2009)</f>
        <v>0.13283679930819978</v>
      </c>
      <c r="G32" s="212">
        <f>GETPIVOTDATA("dato",'[1]evolucion mensual nacionali'!$A$4,"indicador","FRANCIA","año",2009)/GETPIVOTDATA("dato",'[1]evolucion mensual nacionali'!$A$4,"indicador","TOTAL","año",2009)</f>
        <v>2.4564122809092127E-2</v>
      </c>
      <c r="H32" s="212">
        <f>GETPIVOTDATA("dato",'[1]evolucion mensual nacionali'!$A$4,"indicador","REINO UNIDO","año",2009)/GETPIVOTDATA("dato",'[1]evolucion mensual nacionali'!$A$4,"indicador","TOTAL","año",2009)</f>
        <v>0.3304334484918719</v>
      </c>
      <c r="I32" s="212">
        <f>GETPIVOTDATA("dato",'[1]evolucion mensual nacionali'!$A$4,"indicador","IRLANDA","año",2009)/GETPIVOTDATA("dato",'[1]evolucion mensual nacionali'!$A$4,"indicador","TOTAL","año",2009)</f>
        <v>1.9563610386948458E-2</v>
      </c>
      <c r="J32" s="212">
        <f>GETPIVOTDATA("dato",'[1]evolucion mensual nacionali'!$A$4,"indicador","ITALIA","año",2009)/GETPIVOTDATA("dato",'[1]evolucion mensual nacionali'!$A$4,"indicador","TOTAL","año",2009)</f>
        <v>2.3971653655995552E-2</v>
      </c>
      <c r="K32" s="212">
        <f>(GETPIVOTDATA("dato",'[1]evolucion mensual nacionali'!$A$4,"indicador","SUECIA","año",2009)+GETPIVOTDATA("dato",'[1]evolucion mensual nacionali'!$A$4,"indicador","NORUEGA","año",2009)+GETPIVOTDATA("dato",'[1]evolucion mensual nacionali'!$A$4,"indicador","DINAMARCA","año",2009)+GETPIVOTDATA("dato",'[1]evolucion mensual nacionali'!$A$4,"indicador","FINLANDIA","año",2009))/GETPIVOTDATA("dato",'[1]evolucion mensual nacionali'!$A$4,"indicador","TOTAL","año",2009)</f>
        <v>7.3683272176205294E-2</v>
      </c>
      <c r="L32" s="212">
        <f>GETPIVOTDATA("dato",'[1]evolucion mensual nacionali'!$A$4,"indicador","SUECIA","año",2009)/GETPIVOTDATA("dato",'[1]evolucion mensual nacionali'!$A$4,"indicador","TOTAL","año",2009)</f>
        <v>2.5472535082724339E-2</v>
      </c>
      <c r="M32" s="212">
        <f>GETPIVOTDATA("dato",'[1]evolucion mensual nacionali'!$A$4,"indicador","NORUEGA","año",2009)/GETPIVOTDATA("dato",'[1]evolucion mensual nacionali'!$A$4,"indicador","TOTAL","año",2009)</f>
        <v>1.368379369460004E-2</v>
      </c>
      <c r="N32" s="212">
        <f>GETPIVOTDATA("dato",'[1]evolucion mensual nacionali'!$A$4,"indicador","DINAMARCA","año",2009)/GETPIVOTDATA("dato",'[1]evolucion mensual nacionali'!$A$4,"indicador","TOTAL","año",2009)</f>
        <v>2.091955821327798E-2</v>
      </c>
      <c r="O32" s="212">
        <f>GETPIVOTDATA("dato",'[1]evolucion mensual nacionali'!$A$4,"indicador","FINLANDIA","año",2009)/GETPIVOTDATA("dato",'[1]evolucion mensual nacionali'!$A$4,"indicador","TOTAL","año",2009)</f>
        <v>1.3607385185602939E-2</v>
      </c>
      <c r="P32" s="212">
        <f>GETPIVOTDATA("dato",'[1]evolucion mensual nacionali'!$A$4,"indicador","SUIZA","año",2009)/GETPIVOTDATA("dato",'[1]evolucion mensual nacionali'!$A$4,"indicador","TOTAL","año",2009)</f>
        <v>7.9561876035077576E-3</v>
      </c>
      <c r="Q32" s="212">
        <f>GETPIVOTDATA("dato",'[1]evolucion mensual nacionali'!$A$4,"indicador","AUSTRIA","año",2009)/GETPIVOTDATA("dato",'[1]evolucion mensual nacionali'!$A$4,"indicador","TOTAL","año",2009)</f>
        <v>6.5244376849192039E-3</v>
      </c>
      <c r="R32" s="212">
        <f>GETPIVOTDATA("dato",'[1]evolucion mensual nacionali'!$A$4,"indicador","RUSIA","año",2009)/GETPIVOTDATA("dato",'[1]evolucion mensual nacionali'!$A$4,"indicador","TOTAL","año",2009)</f>
        <v>2.4126896340942044E-2</v>
      </c>
      <c r="S32" s="212">
        <f>GETPIVOTDATA("dato",'[1]evolucion mensual nacionali'!$A$4,"indicador","PAÍSES DEL ESTE","año",2009)/GETPIVOTDATA("dato",'[1]evolucion mensual nacionali'!$A$4,"indicador","TOTAL","año",2009)</f>
        <v>2.9223222607701129E-2</v>
      </c>
      <c r="T32" s="212">
        <f>GETPIVOTDATA("dato",'[1]evolucion mensual nacionali'!$A$4,"indicador","RESTO DE EUROPA","año",2009)/GETPIVOTDATA("dato",'[1]evolucion mensual nacionali'!$A$4,"indicador","TOTAL","año",2009)</f>
        <v>2.4137205425489271E-2</v>
      </c>
      <c r="U32" s="212">
        <f>GETPIVOTDATA("dato",'[1]evolucion mensual nacionali'!$A$4,"indicador","USA","año",2009)/GETPIVOTDATA("dato",'[1]evolucion mensual nacionali'!$A$4,"indicador","TOTAL","año",2009)</f>
        <v>1.7913550442653899E-3</v>
      </c>
      <c r="V32" s="212">
        <f>GETPIVOTDATA("dato",'[1]evolucion mensual nacionali'!$A$4,"indicador","RESTO DE AMÉRICA","año",2009)/GETPIVOTDATA("dato",'[1]evolucion mensual nacionali'!$A$4,"indicador","TOTAL","año",2009)</f>
        <v>1.8774662210716475E-3</v>
      </c>
      <c r="W32" s="212">
        <f>GETPIVOTDATA("dato",'[1]evolucion mensual nacionali'!$A$4,"indicador","RESTO DEL MUNDO","año",2009)/GETPIVOTDATA("dato",'[1]evolucion mensual nacionali'!$A$4,"indicador","TOTAL","año",2009)</f>
        <v>3.8907697914714761E-3</v>
      </c>
      <c r="X32" s="212">
        <f>(GETPIVOTDATA("dato",'[1]evolucion mensual nacionali'!$A$4,"indicador","TOTAL","año",2009)-GETPIVOTDATA("dato",'[1]evolucion mensual nacionali'!$A$4,"indicador","España","año",2009))/GETPIVOTDATA("dato",'[1]evolucion mensual nacionali'!$A$4,"indicador","TOTAL","año",2009)</f>
        <v>0.77746143037941673</v>
      </c>
      <c r="Y32" s="214">
        <f>GETPIVOTDATA("dato",'[1]evolucion mensual nacionali'!$A$4,"indicador","TOTAL","año",2009)/GETPIVOTDATA("dato",'[1]evolucion mensual nacionali'!$A$4,"indicador","TOTAL","año",2009)</f>
        <v>1</v>
      </c>
    </row>
    <row r="33" spans="2:25" ht="15" hidden="1" customHeight="1" outlineLevel="1">
      <c r="B33" s="51" t="s">
        <v>37</v>
      </c>
      <c r="C33" s="204">
        <f>GETPIVOTDATA("dato",'[1]evolucion mensual nacionali'!$A$4,"indicador","España","mes",12,"año",2008)/GETPIVOTDATA("dato",'[1]evolucion mensual nacionali'!$A$4,"indicador","TOTAL","mes",12,"año",2008)</f>
        <v>0.15492272547803035</v>
      </c>
      <c r="D33" s="204">
        <f>GETPIVOTDATA("dato",'[1]evolucion mensual nacionali'!$A$4,"indicador","HOLANDA","mes",12,"año",2008)/GETPIVOTDATA("dato",'[1]evolucion mensual nacionali'!$A$4,"indicador","TOTAL","mes",12,"año",2008)</f>
        <v>3.6797055671498671E-2</v>
      </c>
      <c r="E33" s="204">
        <f>GETPIVOTDATA("dato",'[1]evolucion mensual nacionali'!$A$4,"indicador","BÉLGICA","mes",12,"año",2008)/GETPIVOTDATA("dato",'[1]evolucion mensual nacionali'!$A$4,"indicador","TOTAL","mes",12,"año",2008)</f>
        <v>4.0618478199560042E-2</v>
      </c>
      <c r="F33" s="204">
        <f>GETPIVOTDATA("dato",'[1]evolucion mensual nacionali'!$A$4,"indicador","ALEMANIA","mes",12,"año",2008)/GETPIVOTDATA("dato",'[1]evolucion mensual nacionali'!$A$4,"indicador","TOTAL","mes",12,"año",2008)</f>
        <v>0.13307998195047663</v>
      </c>
      <c r="G33" s="204">
        <f>GETPIVOTDATA("dato",'[1]evolucion mensual nacionali'!$A$4,"indicador","FRANCIA","mes",12,"año",2008)/GETPIVOTDATA("dato",'[1]evolucion mensual nacionali'!$A$4,"indicador","TOTAL","mes",12,"año",2008)</f>
        <v>1.9071859664955722E-2</v>
      </c>
      <c r="H33" s="204">
        <f>GETPIVOTDATA("dato",'[1]evolucion mensual nacionali'!$A$4,"indicador","REINO UNIDO","mes",12,"año",2008)/GETPIVOTDATA("dato",'[1]evolucion mensual nacionali'!$A$4,"indicador","TOTAL","mes",12,"año",2008)</f>
        <v>0.36979666083817475</v>
      </c>
      <c r="I33" s="204">
        <f>GETPIVOTDATA("dato",'[1]evolucion mensual nacionali'!$A$4,"indicador","IRLANDA","mes",12,"año",2008)/GETPIVOTDATA("dato",'[1]evolucion mensual nacionali'!$A$4,"indicador","TOTAL","mes",12,"año",2008)</f>
        <v>1.5278639517175249E-2</v>
      </c>
      <c r="J33" s="204">
        <f>GETPIVOTDATA("dato",'[1]evolucion mensual nacionali'!$A$4,"indicador","ITALIA","mes",12,"año",2008)/GETPIVOTDATA("dato",'[1]evolucion mensual nacionali'!$A$4,"indicador","TOTAL","mes",12,"año",2008)</f>
        <v>2.440210953804501E-2</v>
      </c>
      <c r="K33" s="204">
        <f>(GETPIVOTDATA("dato",'[1]evolucion mensual nacionali'!$A$4,"indicador","SUECIA","mes",12,"año",2008)+GETPIVOTDATA("dato",'[1]evolucion mensual nacionali'!$A$4,"indicador","NORUEGA","mes",12,"año",2008)+GETPIVOTDATA("dato",'[1]evolucion mensual nacionali'!$A$4,"indicador","DINAMARCA","mes",12,"año",2008)+GETPIVOTDATA("dato",'[1]evolucion mensual nacionali'!$A$4,"indicador","FINLANDIA","mes",12,"año",2008))/GETPIVOTDATA("dato",'[1]evolucion mensual nacionali'!$A$4,"indicador","TOTAL","mes",12,"año",2008)</f>
        <v>0.11950053584522534</v>
      </c>
      <c r="L33" s="204">
        <f>GETPIVOTDATA("dato",'[1]evolucion mensual nacionali'!$A$4,"indicador","SUECIA","mes",12,"año",2008)/GETPIVOTDATA("dato",'[1]evolucion mensual nacionali'!$A$4,"indicador","TOTAL","mes",12,"año",2008)</f>
        <v>3.7777088386259802E-2</v>
      </c>
      <c r="M33" s="204">
        <f>GETPIVOTDATA("dato",'[1]evolucion mensual nacionali'!$A$4,"indicador","NORUEGA","mes",12,"año",2008)/GETPIVOTDATA("dato",'[1]evolucion mensual nacionali'!$A$4,"indicador","TOTAL","mes",12,"año",2008)</f>
        <v>2.0242258446612895E-2</v>
      </c>
      <c r="N33" s="204">
        <f>GETPIVOTDATA("dato",'[1]evolucion mensual nacionali'!$A$4,"indicador","DINAMARCA","mes",12,"año",2008)/GETPIVOTDATA("dato",'[1]evolucion mensual nacionali'!$A$4,"indicador","TOTAL","mes",12,"año",2008)</f>
        <v>3.6543234248970616E-2</v>
      </c>
      <c r="O33" s="204">
        <f>GETPIVOTDATA("dato",'[1]evolucion mensual nacionali'!$A$4,"indicador","FINLANDIA","mes",12,"año",2008)/GETPIVOTDATA("dato",'[1]evolucion mensual nacionali'!$A$4,"indicador","TOTAL","mes",12,"año",2008)</f>
        <v>2.4937954763382029E-2</v>
      </c>
      <c r="P33" s="204">
        <f>GETPIVOTDATA("dato",'[1]evolucion mensual nacionali'!$A$4,"indicador","SUIZA","mes",12,"año",2008)/GETPIVOTDATA("dato",'[1]evolucion mensual nacionali'!$A$4,"indicador","TOTAL","mes",12,"año",2008)</f>
        <v>5.9648034294094423E-3</v>
      </c>
      <c r="Q33" s="204">
        <f>GETPIVOTDATA("dato",'[1]evolucion mensual nacionali'!$A$4,"indicador","AUSTRIA","mes",12,"año",2008)/GETPIVOTDATA("dato",'[1]evolucion mensual nacionali'!$A$4,"indicador","TOTAL","mes",12,"año",2008)</f>
        <v>6.4935980596762368E-3</v>
      </c>
      <c r="R33" s="204">
        <f>GETPIVOTDATA("dato",'[1]evolucion mensual nacionali'!$A$4,"indicador","RUSIA","mes",12,"año",2008)/GETPIVOTDATA("dato",'[1]evolucion mensual nacionali'!$A$4,"indicador","TOTAL","mes",12,"año",2008)</f>
        <v>2.3654746460601273E-2</v>
      </c>
      <c r="S33" s="204">
        <f>GETPIVOTDATA("dato",'[1]evolucion mensual nacionali'!$A$4,"indicador","PAÍSES DEL ESTE","mes",12,"año",2008)/GETPIVOTDATA("dato",'[1]evolucion mensual nacionali'!$A$4,"indicador","TOTAL","mes",12,"año",2008)</f>
        <v>2.1236392351514467E-2</v>
      </c>
      <c r="T33" s="204">
        <f>GETPIVOTDATA("dato",'[1]evolucion mensual nacionali'!$A$4,"indicador","RESTO DE EUROPA","mes",12,"año",2008)/GETPIVOTDATA("dato",'[1]evolucion mensual nacionali'!$A$4,"indicador","TOTAL","mes",12,"año",2008)</f>
        <v>2.1955553048677308E-2</v>
      </c>
      <c r="U33" s="204">
        <f>GETPIVOTDATA("dato",'[1]evolucion mensual nacionali'!$A$4,"indicador","USA","mes",12,"año",2008)/GETPIVOTDATA("dato",'[1]evolucion mensual nacionali'!$A$4,"indicador","TOTAL","mes",12,"año",2008)</f>
        <v>2.3055445879632242E-3</v>
      </c>
      <c r="V33" s="204">
        <f>GETPIVOTDATA("dato",'[1]evolucion mensual nacionali'!$A$4,"indicador","RESTO DE AMÉRICA","mes",12,"año",2008)/GETPIVOTDATA("dato",'[1]evolucion mensual nacionali'!$A$4,"indicador","TOTAL","mes",12,"año",2008)</f>
        <v>1.3396130633425462E-3</v>
      </c>
      <c r="W33" s="204">
        <f>GETPIVOTDATA("dato",'[1]evolucion mensual nacionali'!$A$4,"indicador","RESTO DEL MUNDO","mes",12,"año",2008)/GETPIVOTDATA("dato",'[1]evolucion mensual nacionali'!$A$4,"indicador","TOTAL","mes",12,"año",2008)</f>
        <v>3.581702295673755E-3</v>
      </c>
      <c r="X33" s="204">
        <f>(GETPIVOTDATA("dato",'[1]evolucion mensual nacionali'!$A$4,"indicador","TOTAL","mes",12,"año",2008)-GETPIVOTDATA("dato",'[1]evolucion mensual nacionali'!$A$4,"indicador","España","mes",12,"año",2008))/GETPIVOTDATA("dato",'[1]evolucion mensual nacionali'!$A$4,"indicador","TOTAL","mes",12,"año",2008)</f>
        <v>0.84507727452196968</v>
      </c>
      <c r="Y33" s="206">
        <f>GETPIVOTDATA("dato",'[1]evolucion mensual nacionali'!$A$4,"indicador","TOTAL","mes",12,"año",2008)/GETPIVOTDATA("dato",'[1]evolucion mensual nacionali'!$A$4,"indicador","TOTAL","mes",12,"año",2008)</f>
        <v>1</v>
      </c>
    </row>
    <row r="34" spans="2:25" ht="15" hidden="1" customHeight="1" outlineLevel="1">
      <c r="B34" s="51" t="s">
        <v>38</v>
      </c>
      <c r="C34" s="204">
        <f>GETPIVOTDATA("dato",'[1]evolucion mensual nacionali'!$A$4,"indicador","España","mes",11,"año",2008)/GETPIVOTDATA("dato",'[1]evolucion mensual nacionali'!$A$4,"indicador","TOTAL","mes",11,"año",2008)</f>
        <v>0.15508545059426396</v>
      </c>
      <c r="D34" s="204">
        <f>GETPIVOTDATA("dato",'[1]evolucion mensual nacionali'!$A$4,"indicador","HOLANDA","mes",11,"año",2008)/GETPIVOTDATA("dato",'[1]evolucion mensual nacionali'!$A$4,"indicador","TOTAL","mes",11,"año",2008)</f>
        <v>3.3469267298044163E-2</v>
      </c>
      <c r="E34" s="204">
        <f>GETPIVOTDATA("dato",'[1]evolucion mensual nacionali'!$A$4,"indicador","BÉLGICA","mes",11,"año",2008)/GETPIVOTDATA("dato",'[1]evolucion mensual nacionali'!$A$4,"indicador","TOTAL","mes",11,"año",2008)</f>
        <v>3.383145976980656E-2</v>
      </c>
      <c r="F34" s="204">
        <f>GETPIVOTDATA("dato",'[1]evolucion mensual nacionali'!$A$4,"indicador","ALEMANIA","mes",11,"año",2008)/GETPIVOTDATA("dato",'[1]evolucion mensual nacionali'!$A$4,"indicador","TOTAL","mes",11,"año",2008)</f>
        <v>0.16579025031524158</v>
      </c>
      <c r="G34" s="204">
        <f>GETPIVOTDATA("dato",'[1]evolucion mensual nacionali'!$A$4,"indicador","FRANCIA","mes",11,"año",2008)/GETPIVOTDATA("dato",'[1]evolucion mensual nacionali'!$A$4,"indicador","TOTAL","mes",11,"año",2008)</f>
        <v>1.9967536822901297E-2</v>
      </c>
      <c r="H34" s="204">
        <f>GETPIVOTDATA("dato",'[1]evolucion mensual nacionali'!$A$4,"indicador","REINO UNIDO","mes",11,"año",2008)/GETPIVOTDATA("dato",'[1]evolucion mensual nacionali'!$A$4,"indicador","TOTAL","mes",11,"año",2008)</f>
        <v>0.32714028921739596</v>
      </c>
      <c r="I34" s="204">
        <f>GETPIVOTDATA("dato",'[1]evolucion mensual nacionali'!$A$4,"indicador","IRLANDA","mes",11,"año",2008)/GETPIVOTDATA("dato",'[1]evolucion mensual nacionali'!$A$4,"indicador","TOTAL","mes",11,"año",2008)</f>
        <v>1.7277922356665684E-2</v>
      </c>
      <c r="J34" s="204">
        <f>GETPIVOTDATA("dato",'[1]evolucion mensual nacionali'!$A$4,"indicador","ITALIA","mes",11,"año",2008)/GETPIVOTDATA("dato",'[1]evolucion mensual nacionali'!$A$4,"indicador","TOTAL","mes",11,"año",2008)</f>
        <v>1.7291336892656883E-2</v>
      </c>
      <c r="K34" s="204">
        <f>(GETPIVOTDATA("dato",'[1]evolucion mensual nacionali'!$A$4,"indicador","SUECIA","mes",11,"año",2008)+GETPIVOTDATA("dato",'[1]evolucion mensual nacionali'!$A$4,"indicador","NORUEGA","mes",11,"año",2008)+GETPIVOTDATA("dato",'[1]evolucion mensual nacionali'!$A$4,"indicador","DINAMARCA","mes",11,"año",2008)+GETPIVOTDATA("dato",'[1]evolucion mensual nacionali'!$A$4,"indicador","FINLANDIA","mes",11,"año",2008))/GETPIVOTDATA("dato",'[1]evolucion mensual nacionali'!$A$4,"indicador","TOTAL","mes",11,"año",2008)</f>
        <v>0.13770691921766426</v>
      </c>
      <c r="L34" s="204">
        <f>GETPIVOTDATA("dato",'[1]evolucion mensual nacionali'!$A$4,"indicador","SUECIA","mes",11,"año",2008)/GETPIVOTDATA("dato",'[1]evolucion mensual nacionali'!$A$4,"indicador","TOTAL","mes",11,"año",2008)</f>
        <v>4.2423470072170205E-2</v>
      </c>
      <c r="M34" s="204">
        <f>GETPIVOTDATA("dato",'[1]evolucion mensual nacionali'!$A$4,"indicador","NORUEGA","mes",11,"año",2008)/GETPIVOTDATA("dato",'[1]evolucion mensual nacionali'!$A$4,"indicador","TOTAL","mes",11,"año",2008)</f>
        <v>3.2899149518418158E-2</v>
      </c>
      <c r="N34" s="204">
        <f>GETPIVOTDATA("dato",'[1]evolucion mensual nacionali'!$A$4,"indicador","DINAMARCA","mes",11,"año",2008)/GETPIVOTDATA("dato",'[1]evolucion mensual nacionali'!$A$4,"indicador","TOTAL","mes",11,"año",2008)</f>
        <v>4.5066133662436614E-2</v>
      </c>
      <c r="O34" s="204">
        <f>GETPIVOTDATA("dato",'[1]evolucion mensual nacionali'!$A$4,"indicador","FINLANDIA","mes",11,"año",2008)/GETPIVOTDATA("dato",'[1]evolucion mensual nacionali'!$A$4,"indicador","TOTAL","mes",11,"año",2008)</f>
        <v>1.7318165964639282E-2</v>
      </c>
      <c r="P34" s="204">
        <f>GETPIVOTDATA("dato",'[1]evolucion mensual nacionali'!$A$4,"indicador","SUIZA","mes",11,"año",2008)/GETPIVOTDATA("dato",'[1]evolucion mensual nacionali'!$A$4,"indicador","TOTAL","mes",11,"año",2008)</f>
        <v>8.1560378826496388E-3</v>
      </c>
      <c r="Q34" s="204">
        <f>GETPIVOTDATA("dato",'[1]evolucion mensual nacionali'!$A$4,"indicador","AUSTRIA","mes",11,"año",2008)/GETPIVOTDATA("dato",'[1]evolucion mensual nacionali'!$A$4,"indicador","TOTAL","mes",11,"año",2008)</f>
        <v>8.1560378826496388E-3</v>
      </c>
      <c r="R34" s="204">
        <f>GETPIVOTDATA("dato",'[1]evolucion mensual nacionali'!$A$4,"indicador","RUSIA","mes",11,"año",2008)/GETPIVOTDATA("dato",'[1]evolucion mensual nacionali'!$A$4,"indicador","TOTAL","mes",11,"año",2008)</f>
        <v>2.6547366726584927E-2</v>
      </c>
      <c r="S34" s="204">
        <f>GETPIVOTDATA("dato",'[1]evolucion mensual nacionali'!$A$4,"indicador","PAÍSES DEL ESTE","mes",11,"año",2008)/GETPIVOTDATA("dato",'[1]evolucion mensual nacionali'!$A$4,"indicador","TOTAL","mes",11,"año",2008)</f>
        <v>2.1624232017814504E-2</v>
      </c>
      <c r="T34" s="204">
        <f>GETPIVOTDATA("dato",'[1]evolucion mensual nacionali'!$A$4,"indicador","RESTO DE EUROPA","mes",11,"año",2008)/GETPIVOTDATA("dato",'[1]evolucion mensual nacionali'!$A$4,"indicador","TOTAL","mes",11,"año",2008)</f>
        <v>2.269739489711051E-2</v>
      </c>
      <c r="U34" s="204">
        <f>GETPIVOTDATA("dato",'[1]evolucion mensual nacionali'!$A$4,"indicador","USA","mes",11,"año",2008)/GETPIVOTDATA("dato",'[1]evolucion mensual nacionali'!$A$4,"indicador","TOTAL","mes",11,"año",2008)</f>
        <v>2.1530330265876105E-3</v>
      </c>
      <c r="V34" s="204">
        <f>GETPIVOTDATA("dato",'[1]evolucion mensual nacionali'!$A$4,"indicador","RESTO DE AMÉRICA","mes",11,"año",2008)/GETPIVOTDATA("dato",'[1]evolucion mensual nacionali'!$A$4,"indicador","TOTAL","mes",11,"año",2008)</f>
        <v>1.0530410753092051E-3</v>
      </c>
      <c r="W34" s="204">
        <f>GETPIVOTDATA("dato",'[1]evolucion mensual nacionali'!$A$4,"indicador","RESTO DEL MUNDO","mes",11,"año",2008)/GETPIVOTDATA("dato",'[1]evolucion mensual nacionali'!$A$4,"indicador","TOTAL","mes",11,"año",2008)</f>
        <v>2.0524240066536097E-3</v>
      </c>
      <c r="X34" s="204">
        <f>(GETPIVOTDATA("dato",'[1]evolucion mensual nacionali'!$A$4,"indicador","TOTAL","mes",11,"año",2008)-GETPIVOTDATA("dato",'[1]evolucion mensual nacionali'!$A$4,"indicador","España","mes",11,"año",2008))/GETPIVOTDATA("dato",'[1]evolucion mensual nacionali'!$A$4,"indicador","TOTAL","mes",11,"año",2008)</f>
        <v>0.84491454940573607</v>
      </c>
      <c r="Y34" s="206">
        <f>GETPIVOTDATA("dato",'[1]evolucion mensual nacionali'!$A$4,"indicador","TOTAL","mes",11,"año",2008)/GETPIVOTDATA("dato",'[1]evolucion mensual nacionali'!$A$4,"indicador","TOTAL","mes",11,"año",2008)</f>
        <v>1</v>
      </c>
    </row>
    <row r="35" spans="2:25" ht="15" hidden="1" customHeight="1" outlineLevel="1">
      <c r="B35" s="51" t="s">
        <v>39</v>
      </c>
      <c r="C35" s="204">
        <f>GETPIVOTDATA("dato",'[1]evolucion mensual nacionali'!$A$4,"indicador","España","mes",10,"año",2008)/GETPIVOTDATA("dato",'[1]evolucion mensual nacionali'!$A$4,"indicador","TOTAL","mes",10,"año",2008)</f>
        <v>0.15397991810175576</v>
      </c>
      <c r="D35" s="204">
        <f>GETPIVOTDATA("dato",'[1]evolucion mensual nacionali'!$A$4,"indicador","HOLANDA","mes",10,"año",2008)/GETPIVOTDATA("dato",'[1]evolucion mensual nacionali'!$A$4,"indicador","TOTAL","mes",10,"año",2008)</f>
        <v>5.02670730415163E-2</v>
      </c>
      <c r="E35" s="204">
        <f>GETPIVOTDATA("dato",'[1]evolucion mensual nacionali'!$A$4,"indicador","BÉLGICA","mes",10,"año",2008)/GETPIVOTDATA("dato",'[1]evolucion mensual nacionali'!$A$4,"indicador","TOTAL","mes",10,"año",2008)</f>
        <v>3.0783518134166028E-2</v>
      </c>
      <c r="F35" s="204">
        <f>GETPIVOTDATA("dato",'[1]evolucion mensual nacionali'!$A$4,"indicador","ALEMANIA","mes",10,"año",2008)/GETPIVOTDATA("dato",'[1]evolucion mensual nacionali'!$A$4,"indicador","TOTAL","mes",10,"año",2008)</f>
        <v>0.13528168882406835</v>
      </c>
      <c r="G35" s="204">
        <f>GETPIVOTDATA("dato",'[1]evolucion mensual nacionali'!$A$4,"indicador","FRANCIA","mes",10,"año",2008)/GETPIVOTDATA("dato",'[1]evolucion mensual nacionali'!$A$4,"indicador","TOTAL","mes",10,"año",2008)</f>
        <v>2.2973891039185255E-2</v>
      </c>
      <c r="H35" s="204">
        <f>GETPIVOTDATA("dato",'[1]evolucion mensual nacionali'!$A$4,"indicador","REINO UNIDO","mes",10,"año",2008)/GETPIVOTDATA("dato",'[1]evolucion mensual nacionali'!$A$4,"indicador","TOTAL","mes",10,"año",2008)</f>
        <v>0.37734273230991694</v>
      </c>
      <c r="I35" s="204">
        <f>GETPIVOTDATA("dato",'[1]evolucion mensual nacionali'!$A$4,"indicador","IRLANDA","mes",10,"año",2008)/GETPIVOTDATA("dato",'[1]evolucion mensual nacionali'!$A$4,"indicador","TOTAL","mes",10,"año",2008)</f>
        <v>2.1434403495322326E-2</v>
      </c>
      <c r="J35" s="204">
        <f>GETPIVOTDATA("dato",'[1]evolucion mensual nacionali'!$A$4,"indicador","ITALIA","mes",10,"año",2008)/GETPIVOTDATA("dato",'[1]evolucion mensual nacionali'!$A$4,"indicador","TOTAL","mes",10,"año",2008)</f>
        <v>1.4061068416820926E-2</v>
      </c>
      <c r="K35" s="204">
        <f>(GETPIVOTDATA("dato",'[1]evolucion mensual nacionali'!$A$4,"indicador","SUECIA","mes",10,"año",2008)+GETPIVOTDATA("dato",'[1]evolucion mensual nacionali'!$A$4,"indicador","NORUEGA","mes",10,"año",2008)+GETPIVOTDATA("dato",'[1]evolucion mensual nacionali'!$A$4,"indicador","DINAMARCA","mes",10,"año",2008)+GETPIVOTDATA("dato",'[1]evolucion mensual nacionali'!$A$4,"indicador","FINLANDIA","mes",10,"año",2008))/GETPIVOTDATA("dato",'[1]evolucion mensual nacionali'!$A$4,"indicador","TOTAL","mes",10,"año",2008)</f>
        <v>7.3907867591605739E-2</v>
      </c>
      <c r="L35" s="204">
        <f>GETPIVOTDATA("dato",'[1]evolucion mensual nacionali'!$A$4,"indicador","SUECIA","mes",10,"año",2008)/GETPIVOTDATA("dato",'[1]evolucion mensual nacionali'!$A$4,"indicador","TOTAL","mes",10,"año",2008)</f>
        <v>2.3104778644129069E-2</v>
      </c>
      <c r="M35" s="204">
        <f>GETPIVOTDATA("dato",'[1]evolucion mensual nacionali'!$A$4,"indicador","NORUEGA","mes",10,"año",2008)/GETPIVOTDATA("dato",'[1]evolucion mensual nacionali'!$A$4,"indicador","TOTAL","mes",10,"año",2008)</f>
        <v>1.6734915203530227E-2</v>
      </c>
      <c r="N35" s="204">
        <f>GETPIVOTDATA("dato",'[1]evolucion mensual nacionali'!$A$4,"indicador","DINAMARCA","mes",10,"año",2008)/GETPIVOTDATA("dato",'[1]evolucion mensual nacionali'!$A$4,"indicador","TOTAL","mes",10,"año",2008)</f>
        <v>2.1278584918008266E-2</v>
      </c>
      <c r="O35" s="204">
        <f>GETPIVOTDATA("dato",'[1]evolucion mensual nacionali'!$A$4,"indicador","FINLANDIA","mes",10,"año",2008)/GETPIVOTDATA("dato",'[1]evolucion mensual nacionali'!$A$4,"indicador","TOTAL","mes",10,"año",2008)</f>
        <v>1.2789588825938183E-2</v>
      </c>
      <c r="P35" s="204">
        <f>GETPIVOTDATA("dato",'[1]evolucion mensual nacionali'!$A$4,"indicador","SUIZA","mes",10,"año",2008)/GETPIVOTDATA("dato",'[1]evolucion mensual nacionali'!$A$4,"indicador","TOTAL","mes",10,"año",2008)</f>
        <v>7.541619142000586E-3</v>
      </c>
      <c r="Q35" s="204">
        <f>GETPIVOTDATA("dato",'[1]evolucion mensual nacionali'!$A$4,"indicador","AUSTRIA","mes",10,"año",2008)/GETPIVOTDATA("dato",'[1]evolucion mensual nacionali'!$A$4,"indicador","TOTAL","mes",10,"año",2008)</f>
        <v>4.8428413829210374E-3</v>
      </c>
      <c r="R35" s="204">
        <f>GETPIVOTDATA("dato",'[1]evolucion mensual nacionali'!$A$4,"indicador","RUSIA","mes",10,"año",2008)/GETPIVOTDATA("dato",'[1]evolucion mensual nacionali'!$A$4,"indicador","TOTAL","mes",10,"año",2008)</f>
        <v>6.125539911370393E-2</v>
      </c>
      <c r="S35" s="204">
        <f>GETPIVOTDATA("dato",'[1]evolucion mensual nacionali'!$A$4,"indicador","PAÍSES DEL ESTE","mes",10,"año",2008)/GETPIVOTDATA("dato",'[1]evolucion mensual nacionali'!$A$4,"indicador","TOTAL","mes",10,"año",2008)</f>
        <v>1.8679531048409716E-2</v>
      </c>
      <c r="T35" s="204">
        <f>GETPIVOTDATA("dato",'[1]evolucion mensual nacionali'!$A$4,"indicador","RESTO DE EUROPA","mes",10,"año",2008)/GETPIVOTDATA("dato",'[1]evolucion mensual nacionali'!$A$4,"indicador","TOTAL","mes",10,"año",2008)</f>
        <v>2.1072904395953704E-2</v>
      </c>
      <c r="U35" s="204">
        <f>GETPIVOTDATA("dato",'[1]evolucion mensual nacionali'!$A$4,"indicador","USA","mes",10,"año",2008)/GETPIVOTDATA("dato",'[1]evolucion mensual nacionali'!$A$4,"indicador","TOTAL","mes",10,"año",2008)</f>
        <v>2.2437875133224884E-3</v>
      </c>
      <c r="V35" s="204">
        <f>GETPIVOTDATA("dato",'[1]evolucion mensual nacionali'!$A$4,"indicador","RESTO DE AMÉRICA","mes",10,"año",2008)/GETPIVOTDATA("dato",'[1]evolucion mensual nacionali'!$A$4,"indicador","TOTAL","mes",10,"año",2008)</f>
        <v>1.3899017096414303E-3</v>
      </c>
      <c r="W35" s="204">
        <f>GETPIVOTDATA("dato",'[1]evolucion mensual nacionali'!$A$4,"indicador","RESTO DEL MUNDO","mes",10,"año",2008)/GETPIVOTDATA("dato",'[1]evolucion mensual nacionali'!$A$4,"indicador","TOTAL","mes",10,"año",2008)</f>
        <v>2.9418547396894848E-3</v>
      </c>
      <c r="X35" s="204">
        <f>(GETPIVOTDATA("dato",'[1]evolucion mensual nacionali'!$A$4,"indicador","TOTAL","mes",10,"año",2008)-GETPIVOTDATA("dato",'[1]evolucion mensual nacionali'!$A$4,"indicador","España","mes",10,"año",2008))/GETPIVOTDATA("dato",'[1]evolucion mensual nacionali'!$A$4,"indicador","TOTAL","mes",10,"año",2008)</f>
        <v>0.84602008189824429</v>
      </c>
      <c r="Y35" s="206">
        <f>GETPIVOTDATA("dato",'[1]evolucion mensual nacionali'!$A$4,"indicador","TOTAL","mes",10,"año",2008)/GETPIVOTDATA("dato",'[1]evolucion mensual nacionali'!$A$4,"indicador","TOTAL","mes",10,"año",2008)</f>
        <v>1</v>
      </c>
    </row>
    <row r="36" spans="2:25" ht="15" hidden="1" customHeight="1" outlineLevel="1">
      <c r="B36" s="51" t="s">
        <v>40</v>
      </c>
      <c r="C36" s="204">
        <f>GETPIVOTDATA("dato",'[1]evolucion mensual nacionali'!$A$4,"indicador","España","mes",9,"año",2008)/GETPIVOTDATA("dato",'[1]evolucion mensual nacionali'!$A$4,"indicador","TOTAL","mes",9,"año",2008)</f>
        <v>0.27152211874272408</v>
      </c>
      <c r="D36" s="204">
        <f>GETPIVOTDATA("dato",'[1]evolucion mensual nacionali'!$A$4,"indicador","HOLANDA","mes",9,"año",2008)/GETPIVOTDATA("dato",'[1]evolucion mensual nacionali'!$A$4,"indicador","TOTAL","mes",9,"año",2008)</f>
        <v>3.491705471478463E-2</v>
      </c>
      <c r="E36" s="204">
        <f>GETPIVOTDATA("dato",'[1]evolucion mensual nacionali'!$A$4,"indicador","BÉLGICA","mes",9,"año",2008)/GETPIVOTDATA("dato",'[1]evolucion mensual nacionali'!$A$4,"indicador","TOTAL","mes",9,"año",2008)</f>
        <v>2.629511059371362E-2</v>
      </c>
      <c r="F36" s="204">
        <f>GETPIVOTDATA("dato",'[1]evolucion mensual nacionali'!$A$4,"indicador","ALEMANIA","mes",9,"año",2008)/GETPIVOTDATA("dato",'[1]evolucion mensual nacionali'!$A$4,"indicador","TOTAL","mes",9,"año",2008)</f>
        <v>0.13955180442374854</v>
      </c>
      <c r="G36" s="204">
        <f>GETPIVOTDATA("dato",'[1]evolucion mensual nacionali'!$A$4,"indicador","FRANCIA","mes",9,"año",2008)/GETPIVOTDATA("dato",'[1]evolucion mensual nacionali'!$A$4,"indicador","TOTAL","mes",9,"año",2008)</f>
        <v>1.7767753201396973E-2</v>
      </c>
      <c r="H36" s="204">
        <f>GETPIVOTDATA("dato",'[1]evolucion mensual nacionali'!$A$4,"indicador","REINO UNIDO","mes",9,"año",2008)/GETPIVOTDATA("dato",'[1]evolucion mensual nacionali'!$A$4,"indicador","TOTAL","mes",9,"año",2008)</f>
        <v>0.33835855646100116</v>
      </c>
      <c r="I36" s="204">
        <f>GETPIVOTDATA("dato",'[1]evolucion mensual nacionali'!$A$4,"indicador","IRLANDA","mes",9,"año",2008)/GETPIVOTDATA("dato",'[1]evolucion mensual nacionali'!$A$4,"indicador","TOTAL","mes",9,"año",2008)</f>
        <v>2.3814027939464494E-2</v>
      </c>
      <c r="J36" s="204">
        <f>GETPIVOTDATA("dato",'[1]evolucion mensual nacionali'!$A$4,"indicador","ITALIA","mes",9,"año",2008)/GETPIVOTDATA("dato",'[1]evolucion mensual nacionali'!$A$4,"indicador","TOTAL","mes",9,"año",2008)</f>
        <v>1.7331199068684518E-2</v>
      </c>
      <c r="K36" s="204">
        <f>(GETPIVOTDATA("dato",'[1]evolucion mensual nacionali'!$A$4,"indicador","SUECIA","mes",9,"año",2008)+GETPIVOTDATA("dato",'[1]evolucion mensual nacionali'!$A$4,"indicador","NORUEGA","mes",9,"año",2008)+GETPIVOTDATA("dato",'[1]evolucion mensual nacionali'!$A$4,"indicador","DINAMARCA","mes",9,"año",2008)+GETPIVOTDATA("dato",'[1]evolucion mensual nacionali'!$A$4,"indicador","FINLANDIA","mes",9,"año",2008))/GETPIVOTDATA("dato",'[1]evolucion mensual nacionali'!$A$4,"indicador","TOTAL","mes",9,"año",2008)</f>
        <v>1.7935098952270082E-2</v>
      </c>
      <c r="L36" s="204">
        <f>GETPIVOTDATA("dato",'[1]evolucion mensual nacionali'!$A$4,"indicador","SUECIA","mes",9,"año",2008)/GETPIVOTDATA("dato",'[1]evolucion mensual nacionali'!$A$4,"indicador","TOTAL","mes",9,"año",2008)</f>
        <v>4.7802677532013966E-3</v>
      </c>
      <c r="M36" s="204">
        <f>GETPIVOTDATA("dato",'[1]evolucion mensual nacionali'!$A$4,"indicador","NORUEGA","mes",9,"año",2008)/GETPIVOTDATA("dato",'[1]evolucion mensual nacionali'!$A$4,"indicador","TOTAL","mes",9,"año",2008)</f>
        <v>4.8530267753201396E-3</v>
      </c>
      <c r="N36" s="204">
        <f>GETPIVOTDATA("dato",'[1]evolucion mensual nacionali'!$A$4,"indicador","DINAMARCA","mes",9,"año",2008)/GETPIVOTDATA("dato",'[1]evolucion mensual nacionali'!$A$4,"indicador","TOTAL","mes",9,"año",2008)</f>
        <v>8.0908032596041912E-3</v>
      </c>
      <c r="O36" s="204">
        <f>GETPIVOTDATA("dato",'[1]evolucion mensual nacionali'!$A$4,"indicador","FINLANDIA","mes",9,"año",2008)/GETPIVOTDATA("dato",'[1]evolucion mensual nacionali'!$A$4,"indicador","TOTAL","mes",9,"año",2008)</f>
        <v>2.1100116414435389E-4</v>
      </c>
      <c r="P36" s="204">
        <f>GETPIVOTDATA("dato",'[1]evolucion mensual nacionali'!$A$4,"indicador","SUIZA","mes",9,"año",2008)/GETPIVOTDATA("dato",'[1]evolucion mensual nacionali'!$A$4,"indicador","TOTAL","mes",9,"año",2008)</f>
        <v>7.5232828870779979E-3</v>
      </c>
      <c r="Q36" s="204">
        <f>GETPIVOTDATA("dato",'[1]evolucion mensual nacionali'!$A$4,"indicador","AUSTRIA","mes",9,"año",2008)/GETPIVOTDATA("dato",'[1]evolucion mensual nacionali'!$A$4,"indicador","TOTAL","mes",9,"año",2008)</f>
        <v>5.180442374854482E-3</v>
      </c>
      <c r="R36" s="204">
        <f>GETPIVOTDATA("dato",'[1]evolucion mensual nacionali'!$A$4,"indicador","RUSIA","mes",9,"año",2008)/GETPIVOTDATA("dato",'[1]evolucion mensual nacionali'!$A$4,"indicador","TOTAL","mes",9,"año",2008)</f>
        <v>2.9474679860302676E-2</v>
      </c>
      <c r="S36" s="204">
        <f>GETPIVOTDATA("dato",'[1]evolucion mensual nacionali'!$A$4,"indicador","PAÍSES DEL ESTE","mes",9,"año",2008)/GETPIVOTDATA("dato",'[1]evolucion mensual nacionali'!$A$4,"indicador","TOTAL","mes",9,"año",2008)</f>
        <v>3.3039871944121071E-2</v>
      </c>
      <c r="T36" s="204">
        <f>GETPIVOTDATA("dato",'[1]evolucion mensual nacionali'!$A$4,"indicador","RESTO DE EUROPA","mes",9,"año",2008)/GETPIVOTDATA("dato",'[1]evolucion mensual nacionali'!$A$4,"indicador","TOTAL","mes",9,"año",2008)</f>
        <v>3.2385040745052385E-2</v>
      </c>
      <c r="U36" s="204">
        <f>GETPIVOTDATA("dato",'[1]evolucion mensual nacionali'!$A$4,"indicador","USA","mes",9,"año",2008)/GETPIVOTDATA("dato",'[1]evolucion mensual nacionali'!$A$4,"indicador","TOTAL","mes",9,"año",2008)</f>
        <v>1.280558789289872E-3</v>
      </c>
      <c r="V36" s="204">
        <f>GETPIVOTDATA("dato",'[1]evolucion mensual nacionali'!$A$4,"indicador","RESTO DE AMÉRICA","mes",9,"año",2008)/GETPIVOTDATA("dato",'[1]evolucion mensual nacionali'!$A$4,"indicador","TOTAL","mes",9,"año",2008)</f>
        <v>1.1350407450523865E-3</v>
      </c>
      <c r="W36" s="204">
        <f>GETPIVOTDATA("dato",'[1]evolucion mensual nacionali'!$A$4,"indicador","RESTO DEL MUNDO","mes",9,"año",2008)/GETPIVOTDATA("dato",'[1]evolucion mensual nacionali'!$A$4,"indicador","TOTAL","mes",9,"año",2008)</f>
        <v>2.488358556461001E-3</v>
      </c>
      <c r="X36" s="204">
        <f>(GETPIVOTDATA("dato",'[1]evolucion mensual nacionali'!$A$4,"indicador","TOTAL","mes",9,"año",2008)-GETPIVOTDATA("dato",'[1]evolucion mensual nacionali'!$A$4,"indicador","España","mes",9,"año",2008))/GETPIVOTDATA("dato",'[1]evolucion mensual nacionali'!$A$4,"indicador","TOTAL","mes",9,"año",2008)</f>
        <v>0.72847788125727586</v>
      </c>
      <c r="Y36" s="206">
        <f>GETPIVOTDATA("dato",'[1]evolucion mensual nacionali'!$A$4,"indicador","TOTAL","mes",9,"año",2008)/GETPIVOTDATA("dato",'[1]evolucion mensual nacionali'!$A$4,"indicador","TOTAL","mes",9,"año",2008)</f>
        <v>1</v>
      </c>
    </row>
    <row r="37" spans="2:25" ht="15" hidden="1" customHeight="1" outlineLevel="1">
      <c r="B37" s="51" t="s">
        <v>41</v>
      </c>
      <c r="C37" s="204">
        <f>GETPIVOTDATA("dato",'[1]evolucion mensual nacionali'!$A$4,"indicador","España","mes",8,"año",2008)/GETPIVOTDATA("dato",'[1]evolucion mensual nacionali'!$A$4,"indicador","TOTAL","mes",8,"año",2008)</f>
        <v>0.33870573091203099</v>
      </c>
      <c r="D37" s="204">
        <f>GETPIVOTDATA("dato",'[1]evolucion mensual nacionali'!$A$4,"indicador","HOLANDA","mes",8,"año",2008)/GETPIVOTDATA("dato",'[1]evolucion mensual nacionali'!$A$4,"indicador","TOTAL","mes",8,"año",2008)</f>
        <v>2.9968403919190631E-2</v>
      </c>
      <c r="E37" s="204">
        <f>GETPIVOTDATA("dato",'[1]evolucion mensual nacionali'!$A$4,"indicador","BÉLGICA","mes",8,"año",2008)/GETPIVOTDATA("dato",'[1]evolucion mensual nacionali'!$A$4,"indicador","TOTAL","mes",8,"año",2008)</f>
        <v>2.7239651485654104E-2</v>
      </c>
      <c r="F37" s="204">
        <f>GETPIVOTDATA("dato",'[1]evolucion mensual nacionali'!$A$4,"indicador","ALEMANIA","mes",8,"año",2008)/GETPIVOTDATA("dato",'[1]evolucion mensual nacionali'!$A$4,"indicador","TOTAL","mes",8,"año",2008)</f>
        <v>0.11026181129586485</v>
      </c>
      <c r="G37" s="204">
        <f>GETPIVOTDATA("dato",'[1]evolucion mensual nacionali'!$A$4,"indicador","FRANCIA","mes",8,"año",2008)/GETPIVOTDATA("dato",'[1]evolucion mensual nacionali'!$A$4,"indicador","TOTAL","mes",8,"año",2008)</f>
        <v>3.2122682156193148E-2</v>
      </c>
      <c r="H37" s="204">
        <f>GETPIVOTDATA("dato",'[1]evolucion mensual nacionali'!$A$4,"indicador","REINO UNIDO","mes",8,"año",2008)/GETPIVOTDATA("dato",'[1]evolucion mensual nacionali'!$A$4,"indicador","TOTAL","mes",8,"año",2008)</f>
        <v>0.30146597304226641</v>
      </c>
      <c r="I37" s="204">
        <f>GETPIVOTDATA("dato",'[1]evolucion mensual nacionali'!$A$4,"indicador","IRLANDA","mes",8,"año",2008)/GETPIVOTDATA("dato",'[1]evolucion mensual nacionali'!$A$4,"indicador","TOTAL","mes",8,"año",2008)</f>
        <v>1.6532090766923052E-2</v>
      </c>
      <c r="J37" s="204">
        <f>GETPIVOTDATA("dato",'[1]evolucion mensual nacionali'!$A$4,"indicador","ITALIA","mes",8,"año",2008)/GETPIVOTDATA("dato",'[1]evolucion mensual nacionali'!$A$4,"indicador","TOTAL","mes",8,"año",2008)</f>
        <v>3.6383365780487023E-2</v>
      </c>
      <c r="K37" s="204">
        <f>(GETPIVOTDATA("dato",'[1]evolucion mensual nacionali'!$A$4,"indicador","SUECIA","mes",8,"año",2008)+GETPIVOTDATA("dato",'[1]evolucion mensual nacionali'!$A$4,"indicador","NORUEGA","mes",8,"año",2008)+GETPIVOTDATA("dato",'[1]evolucion mensual nacionali'!$A$4,"indicador","DINAMARCA","mes",8,"año",2008)+GETPIVOTDATA("dato",'[1]evolucion mensual nacionali'!$A$4,"indicador","FINLANDIA","mes",8,"año",2008))/GETPIVOTDATA("dato",'[1]evolucion mensual nacionali'!$A$4,"indicador","TOTAL","mes",8,"año",2008)</f>
        <v>9.2022255555910173E-3</v>
      </c>
      <c r="L37" s="204">
        <f>GETPIVOTDATA("dato",'[1]evolucion mensual nacionali'!$A$4,"indicador","SUECIA","mes",8,"año",2008)/GETPIVOTDATA("dato",'[1]evolucion mensual nacionali'!$A$4,"indicador","TOTAL","mes",8,"año",2008)</f>
        <v>2.0106596878690197E-3</v>
      </c>
      <c r="M37" s="204">
        <f>GETPIVOTDATA("dato",'[1]evolucion mensual nacionali'!$A$4,"indicador","NORUEGA","mes",8,"año",2008)/GETPIVOTDATA("dato",'[1]evolucion mensual nacionali'!$A$4,"indicador","TOTAL","mes",8,"año",2008)</f>
        <v>1.7393802061724062E-3</v>
      </c>
      <c r="N37" s="204">
        <f>GETPIVOTDATA("dato",'[1]evolucion mensual nacionali'!$A$4,"indicador","DINAMARCA","mes",8,"año",2008)/GETPIVOTDATA("dato",'[1]evolucion mensual nacionali'!$A$4,"indicador","TOTAL","mes",8,"año",2008)</f>
        <v>5.2500558516579967E-3</v>
      </c>
      <c r="O37" s="204">
        <f>GETPIVOTDATA("dato",'[1]evolucion mensual nacionali'!$A$4,"indicador","FINLANDIA","mes",8,"año",2008)/GETPIVOTDATA("dato",'[1]evolucion mensual nacionali'!$A$4,"indicador","TOTAL","mes",8,"año",2008)</f>
        <v>2.021298098915946E-4</v>
      </c>
      <c r="P37" s="204">
        <f>GETPIVOTDATA("dato",'[1]evolucion mensual nacionali'!$A$4,"indicador","SUIZA","mes",8,"año",2008)/GETPIVOTDATA("dato",'[1]evolucion mensual nacionali'!$A$4,"indicador","TOTAL","mes",8,"año",2008)</f>
        <v>5.0319684251960125E-3</v>
      </c>
      <c r="Q37" s="204">
        <f>GETPIVOTDATA("dato",'[1]evolucion mensual nacionali'!$A$4,"indicador","AUSTRIA","mes",8,"año",2008)/GETPIVOTDATA("dato",'[1]evolucion mensual nacionali'!$A$4,"indicador","TOTAL","mes",8,"año",2008)</f>
        <v>4.9840955754848456E-3</v>
      </c>
      <c r="R37" s="204">
        <f>GETPIVOTDATA("dato",'[1]evolucion mensual nacionali'!$A$4,"indicador","RUSIA","mes",8,"año",2008)/GETPIVOTDATA("dato",'[1]evolucion mensual nacionali'!$A$4,"indicador","TOTAL","mes",8,"año",2008)</f>
        <v>2.9133288652006935E-2</v>
      </c>
      <c r="S37" s="204">
        <f>GETPIVOTDATA("dato",'[1]evolucion mensual nacionali'!$A$4,"indicador","PAÍSES DEL ESTE","mes",8,"año",2008)/GETPIVOTDATA("dato",'[1]evolucion mensual nacionali'!$A$4,"indicador","TOTAL","mes",8,"año",2008)</f>
        <v>1.9361908105405376E-2</v>
      </c>
      <c r="T37" s="204">
        <f>GETPIVOTDATA("dato",'[1]evolucion mensual nacionali'!$A$4,"indicador","RESTO DE EUROPA","mes",8,"año",2008)/GETPIVOTDATA("dato",'[1]evolucion mensual nacionali'!$A$4,"indicador","TOTAL","mes",8,"año",2008)</f>
        <v>3.2702475558250621E-2</v>
      </c>
      <c r="U37" s="204">
        <f>GETPIVOTDATA("dato",'[1]evolucion mensual nacionali'!$A$4,"indicador","USA","mes",8,"año",2008)/GETPIVOTDATA("dato",'[1]evolucion mensual nacionali'!$A$4,"indicador","TOTAL","mes",8,"año",2008)</f>
        <v>1.5957616570389046E-3</v>
      </c>
      <c r="V37" s="204">
        <f>GETPIVOTDATA("dato",'[1]evolucion mensual nacionali'!$A$4,"indicador","RESTO DE AMÉRICA","mes",8,"año",2008)/GETPIVOTDATA("dato",'[1]evolucion mensual nacionali'!$A$4,"indicador","TOTAL","mes",8,"año",2008)</f>
        <v>1.4095894637176992E-3</v>
      </c>
      <c r="W37" s="204">
        <f>GETPIVOTDATA("dato",'[1]evolucion mensual nacionali'!$A$4,"indicador","RESTO DEL MUNDO","mes",8,"año",2008)/GETPIVOTDATA("dato",'[1]evolucion mensual nacionali'!$A$4,"indicador","TOTAL","mes",8,"año",2008)</f>
        <v>3.8989776486983902E-3</v>
      </c>
      <c r="X37" s="204">
        <f>(GETPIVOTDATA("dato",'[1]evolucion mensual nacionali'!$A$4,"indicador","TOTAL","mes",8,"año",2008)-GETPIVOTDATA("dato",'[1]evolucion mensual nacionali'!$A$4,"indicador","España","mes",8,"año",2008))/GETPIVOTDATA("dato",'[1]evolucion mensual nacionali'!$A$4,"indicador","TOTAL","mes",8,"año",2008)</f>
        <v>0.66129426908796907</v>
      </c>
      <c r="Y37" s="206">
        <f>GETPIVOTDATA("dato",'[1]evolucion mensual nacionali'!$A$4,"indicador","TOTAL","mes",8,"año",2008)/GETPIVOTDATA("dato",'[1]evolucion mensual nacionali'!$A$4,"indicador","TOTAL","mes",8,"año",2008)</f>
        <v>1</v>
      </c>
    </row>
    <row r="38" spans="2:25" ht="15" hidden="1" customHeight="1" outlineLevel="1">
      <c r="B38" s="51" t="s">
        <v>42</v>
      </c>
      <c r="C38" s="204">
        <f>GETPIVOTDATA("dato",'[1]evolucion mensual nacionali'!$A$4,"indicador","España","mes",7,"año",2008)/GETPIVOTDATA("dato",'[1]evolucion mensual nacionali'!$A$4,"indicador","TOTAL","mes",7,"año",2008)</f>
        <v>0.28338903598246451</v>
      </c>
      <c r="D38" s="204">
        <f>GETPIVOTDATA("dato",'[1]evolucion mensual nacionali'!$A$4,"indicador","HOLANDA","mes",7,"año",2008)/GETPIVOTDATA("dato",'[1]evolucion mensual nacionali'!$A$4,"indicador","TOTAL","mes",7,"año",2008)</f>
        <v>4.6753021274484878E-2</v>
      </c>
      <c r="E38" s="204">
        <f>GETPIVOTDATA("dato",'[1]evolucion mensual nacionali'!$A$4,"indicador","BÉLGICA","mes",7,"año",2008)/GETPIVOTDATA("dato",'[1]evolucion mensual nacionali'!$A$4,"indicador","TOTAL","mes",7,"año",2008)</f>
        <v>2.733873618026576E-2</v>
      </c>
      <c r="F38" s="204">
        <f>GETPIVOTDATA("dato",'[1]evolucion mensual nacionali'!$A$4,"indicador","ALEMANIA","mes",7,"año",2008)/GETPIVOTDATA("dato",'[1]evolucion mensual nacionali'!$A$4,"indicador","TOTAL","mes",7,"año",2008)</f>
        <v>0.12144004266058174</v>
      </c>
      <c r="G38" s="204">
        <f>GETPIVOTDATA("dato",'[1]evolucion mensual nacionali'!$A$4,"indicador","FRANCIA","mes",7,"año",2008)/GETPIVOTDATA("dato",'[1]evolucion mensual nacionali'!$A$4,"indicador","TOTAL","mes",7,"año",2008)</f>
        <v>2.3593533945545753E-2</v>
      </c>
      <c r="H38" s="204">
        <f>GETPIVOTDATA("dato",'[1]evolucion mensual nacionali'!$A$4,"indicador","REINO UNIDO","mes",7,"año",2008)/GETPIVOTDATA("dato",'[1]evolucion mensual nacionali'!$A$4,"indicador","TOTAL","mes",7,"año",2008)</f>
        <v>0.33611949923421774</v>
      </c>
      <c r="I38" s="204">
        <f>GETPIVOTDATA("dato",'[1]evolucion mensual nacionali'!$A$4,"indicador","IRLANDA","mes",7,"año",2008)/GETPIVOTDATA("dato",'[1]evolucion mensual nacionali'!$A$4,"indicador","TOTAL","mes",7,"año",2008)</f>
        <v>1.7076634030494874E-2</v>
      </c>
      <c r="J38" s="204">
        <f>GETPIVOTDATA("dato",'[1]evolucion mensual nacionali'!$A$4,"indicador","ITALIA","mes",7,"año",2008)/GETPIVOTDATA("dato",'[1]evolucion mensual nacionali'!$A$4,"indicador","TOTAL","mes",7,"año",2008)</f>
        <v>1.9910338370340976E-2</v>
      </c>
      <c r="K38" s="204">
        <f>(GETPIVOTDATA("dato",'[1]evolucion mensual nacionali'!$A$4,"indicador","SUECIA","mes",7,"año",2008)+GETPIVOTDATA("dato",'[1]evolucion mensual nacionali'!$A$4,"indicador","NORUEGA","mes",7,"año",2008)+GETPIVOTDATA("dato",'[1]evolucion mensual nacionali'!$A$4,"indicador","DINAMARCA","mes",7,"año",2008)+GETPIVOTDATA("dato",'[1]evolucion mensual nacionali'!$A$4,"indicador","FINLANDIA","mes",7,"año",2008))/GETPIVOTDATA("dato",'[1]evolucion mensual nacionali'!$A$4,"indicador","TOTAL","mes",7,"año",2008)</f>
        <v>1.5712487521159772E-2</v>
      </c>
      <c r="L38" s="204">
        <f>GETPIVOTDATA("dato",'[1]evolucion mensual nacionali'!$A$4,"indicador","SUECIA","mes",7,"año",2008)/GETPIVOTDATA("dato",'[1]evolucion mensual nacionali'!$A$4,"indicador","TOTAL","mes",7,"año",2008)</f>
        <v>3.1251356395676894E-3</v>
      </c>
      <c r="M38" s="204">
        <f>GETPIVOTDATA("dato",'[1]evolucion mensual nacionali'!$A$4,"indicador","NORUEGA","mes",7,"año",2008)/GETPIVOTDATA("dato",'[1]evolucion mensual nacionali'!$A$4,"indicador","TOTAL","mes",7,"año",2008)</f>
        <v>3.7700048985261016E-3</v>
      </c>
      <c r="N38" s="204">
        <f>GETPIVOTDATA("dato",'[1]evolucion mensual nacionali'!$A$4,"indicador","DINAMARCA","mes",7,"año",2008)/GETPIVOTDATA("dato",'[1]evolucion mensual nacionali'!$A$4,"indicador","TOTAL","mes",7,"año",2008)</f>
        <v>8.5817216769080995E-3</v>
      </c>
      <c r="O38" s="204">
        <f>GETPIVOTDATA("dato",'[1]evolucion mensual nacionali'!$A$4,"indicador","FINLANDIA","mes",7,"año",2008)/GETPIVOTDATA("dato",'[1]evolucion mensual nacionali'!$A$4,"indicador","TOTAL","mes",7,"año",2008)</f>
        <v>2.3562530615788135E-4</v>
      </c>
      <c r="P38" s="204">
        <f>GETPIVOTDATA("dato",'[1]evolucion mensual nacionali'!$A$4,"indicador","SUIZA","mes",7,"año",2008)/GETPIVOTDATA("dato",'[1]evolucion mensual nacionali'!$A$4,"indicador","TOTAL","mes",7,"año",2008)</f>
        <v>7.7756351032100849E-3</v>
      </c>
      <c r="Q38" s="204">
        <f>GETPIVOTDATA("dato",'[1]evolucion mensual nacionali'!$A$4,"indicador","AUSTRIA","mes",7,"año",2008)/GETPIVOTDATA("dato",'[1]evolucion mensual nacionali'!$A$4,"indicador","TOTAL","mes",7,"año",2008)</f>
        <v>7.3415884866034611E-3</v>
      </c>
      <c r="R38" s="204">
        <f>GETPIVOTDATA("dato",'[1]evolucion mensual nacionali'!$A$4,"indicador","RUSIA","mes",7,"año",2008)/GETPIVOTDATA("dato",'[1]evolucion mensual nacionali'!$A$4,"indicador","TOTAL","mes",7,"año",2008)</f>
        <v>3.1034333087373585E-2</v>
      </c>
      <c r="S38" s="204">
        <f>GETPIVOTDATA("dato",'[1]evolucion mensual nacionali'!$A$4,"indicador","PAÍSES DEL ESTE","mes",7,"año",2008)/GETPIVOTDATA("dato",'[1]evolucion mensual nacionali'!$A$4,"indicador","TOTAL","mes",7,"año",2008)</f>
        <v>2.3215293322502838E-2</v>
      </c>
      <c r="T38" s="204">
        <f>GETPIVOTDATA("dato",'[1]evolucion mensual nacionali'!$A$4,"indicador","RESTO DE EUROPA","mes",7,"año",2008)/GETPIVOTDATA("dato",'[1]evolucion mensual nacionali'!$A$4,"indicador","TOTAL","mes",7,"año",2008)</f>
        <v>3.2931736868539681E-2</v>
      </c>
      <c r="U38" s="204">
        <f>GETPIVOTDATA("dato",'[1]evolucion mensual nacionali'!$A$4,"indicador","USA","mes",7,"año",2008)/GETPIVOTDATA("dato",'[1]evolucion mensual nacionali'!$A$4,"indicador","TOTAL","mes",7,"año",2008)</f>
        <v>1.6245744792990767E-3</v>
      </c>
      <c r="V38" s="204">
        <f>GETPIVOTDATA("dato",'[1]evolucion mensual nacionali'!$A$4,"indicador","RESTO DE AMÉRICA","mes",7,"año",2008)/GETPIVOTDATA("dato",'[1]evolucion mensual nacionali'!$A$4,"indicador","TOTAL","mes",7,"año",2008)</f>
        <v>1.2401331903046386E-3</v>
      </c>
      <c r="W38" s="204">
        <f>GETPIVOTDATA("dato",'[1]evolucion mensual nacionali'!$A$4,"indicador","RESTO DEL MUNDO","mes",7,"año",2008)/GETPIVOTDATA("dato",'[1]evolucion mensual nacionali'!$A$4,"indicador","TOTAL","mes",7,"año",2008)</f>
        <v>3.5033762626106046E-3</v>
      </c>
      <c r="X38" s="204">
        <f>(GETPIVOTDATA("dato",'[1]evolucion mensual nacionali'!$A$4,"indicador","TOTAL","mes",7,"año",2008)-GETPIVOTDATA("dato",'[1]evolucion mensual nacionali'!$A$4,"indicador","España","mes",7,"año",2008))/GETPIVOTDATA("dato",'[1]evolucion mensual nacionali'!$A$4,"indicador","TOTAL","mes",7,"año",2008)</f>
        <v>0.71661096401753543</v>
      </c>
      <c r="Y38" s="206">
        <f>GETPIVOTDATA("dato",'[1]evolucion mensual nacionali'!$A$4,"indicador","TOTAL","mes",7,"año",2008)/GETPIVOTDATA("dato",'[1]evolucion mensual nacionali'!$A$4,"indicador","TOTAL","mes",7,"año",2008)</f>
        <v>1</v>
      </c>
    </row>
    <row r="39" spans="2:25" ht="15" hidden="1" customHeight="1" outlineLevel="1">
      <c r="B39" s="51" t="s">
        <v>43</v>
      </c>
      <c r="C39" s="204">
        <f>GETPIVOTDATA("dato",'[1]evolucion mensual nacionali'!$A$4,"indicador","España","mes",6,"año",2008)/GETPIVOTDATA("dato",'[1]evolucion mensual nacionali'!$A$4,"indicador","TOTAL","mes",6,"año",2008)</f>
        <v>0.27420181329980936</v>
      </c>
      <c r="D39" s="204">
        <f>GETPIVOTDATA("dato",'[1]evolucion mensual nacionali'!$A$4,"indicador","HOLANDA","mes",6,"año",2008)/GETPIVOTDATA("dato",'[1]evolucion mensual nacionali'!$A$4,"indicador","TOTAL","mes",6,"año",2008)</f>
        <v>3.0444852865819914E-2</v>
      </c>
      <c r="E39" s="204">
        <f>GETPIVOTDATA("dato",'[1]evolucion mensual nacionali'!$A$4,"indicador","BÉLGICA","mes",6,"año",2008)/GETPIVOTDATA("dato",'[1]evolucion mensual nacionali'!$A$4,"indicador","TOTAL","mes",6,"año",2008)</f>
        <v>2.473302678955747E-2</v>
      </c>
      <c r="F39" s="204">
        <f>GETPIVOTDATA("dato",'[1]evolucion mensual nacionali'!$A$4,"indicador","ALEMANIA","mes",6,"año",2008)/GETPIVOTDATA("dato",'[1]evolucion mensual nacionali'!$A$4,"indicador","TOTAL","mes",6,"año",2008)</f>
        <v>0.14609566625444956</v>
      </c>
      <c r="G39" s="204">
        <f>GETPIVOTDATA("dato",'[1]evolucion mensual nacionali'!$A$4,"indicador","FRANCIA","mes",6,"año",2008)/GETPIVOTDATA("dato",'[1]evolucion mensual nacionali'!$A$4,"indicador","TOTAL","mes",6,"año",2008)</f>
        <v>1.5919323872836715E-2</v>
      </c>
      <c r="H39" s="204">
        <f>GETPIVOTDATA("dato",'[1]evolucion mensual nacionali'!$A$4,"indicador","REINO UNIDO","mes",6,"año",2008)/GETPIVOTDATA("dato",'[1]evolucion mensual nacionali'!$A$4,"indicador","TOTAL","mes",6,"año",2008)</f>
        <v>0.3442331736846061</v>
      </c>
      <c r="I39" s="204">
        <f>GETPIVOTDATA("dato",'[1]evolucion mensual nacionali'!$A$4,"indicador","IRLANDA","mes",6,"año",2008)/GETPIVOTDATA("dato",'[1]evolucion mensual nacionali'!$A$4,"indicador","TOTAL","mes",6,"año",2008)</f>
        <v>2.1139222344444975E-2</v>
      </c>
      <c r="J39" s="204">
        <f>GETPIVOTDATA("dato",'[1]evolucion mensual nacionali'!$A$4,"indicador","ITALIA","mes",6,"año",2008)/GETPIVOTDATA("dato",'[1]evolucion mensual nacionali'!$A$4,"indicador","TOTAL","mes",6,"año",2008)</f>
        <v>2.6085827702356471E-2</v>
      </c>
      <c r="K39" s="204">
        <f>(GETPIVOTDATA("dato",'[1]evolucion mensual nacionali'!$A$4,"indicador","SUECIA","mes",6,"año",2008)+GETPIVOTDATA("dato",'[1]evolucion mensual nacionali'!$A$4,"indicador","NORUEGA","mes",6,"año",2008)+GETPIVOTDATA("dato",'[1]evolucion mensual nacionali'!$A$4,"indicador","DINAMARCA","mes",6,"año",2008)+GETPIVOTDATA("dato",'[1]evolucion mensual nacionali'!$A$4,"indicador","FINLANDIA","mes",6,"año",2008))/GETPIVOTDATA("dato",'[1]evolucion mensual nacionali'!$A$4,"indicador","TOTAL","mes",6,"año",2008)</f>
        <v>1.181309483954278E-2</v>
      </c>
      <c r="L39" s="204">
        <f>GETPIVOTDATA("dato",'[1]evolucion mensual nacionali'!$A$4,"indicador","SUECIA","mes",6,"año",2008)/GETPIVOTDATA("dato",'[1]evolucion mensual nacionali'!$A$4,"indicador","TOTAL","mes",6,"año",2008)</f>
        <v>2.8422483824463835E-3</v>
      </c>
      <c r="M39" s="204">
        <f>GETPIVOTDATA("dato",'[1]evolucion mensual nacionali'!$A$4,"indicador","NORUEGA","mes",6,"año",2008)/GETPIVOTDATA("dato",'[1]evolucion mensual nacionali'!$A$4,"indicador","TOTAL","mes",6,"año",2008)</f>
        <v>2.4733026789557468E-3</v>
      </c>
      <c r="N39" s="204">
        <f>GETPIVOTDATA("dato",'[1]evolucion mensual nacionali'!$A$4,"indicador","DINAMARCA","mes",6,"año",2008)/GETPIVOTDATA("dato",'[1]evolucion mensual nacionali'!$A$4,"indicador","TOTAL","mes",6,"año",2008)</f>
        <v>6.3335679099225895E-3</v>
      </c>
      <c r="O39" s="204">
        <f>GETPIVOTDATA("dato",'[1]evolucion mensual nacionali'!$A$4,"indicador","FINLANDIA","mes",6,"año",2008)/GETPIVOTDATA("dato",'[1]evolucion mensual nacionali'!$A$4,"indicador","TOTAL","mes",6,"año",2008)</f>
        <v>1.6397586821806058E-4</v>
      </c>
      <c r="P39" s="204">
        <f>GETPIVOTDATA("dato",'[1]evolucion mensual nacionali'!$A$4,"indicador","SUIZA","mes",6,"año",2008)/GETPIVOTDATA("dato",'[1]evolucion mensual nacionali'!$A$4,"indicador","TOTAL","mes",6,"año",2008)</f>
        <v>6.0876041075954993E-3</v>
      </c>
      <c r="Q39" s="204">
        <f>GETPIVOTDATA("dato",'[1]evolucion mensual nacionali'!$A$4,"indicador","AUSTRIA","mes",6,"año",2008)/GETPIVOTDATA("dato",'[1]evolucion mensual nacionali'!$A$4,"indicador","TOTAL","mes",6,"año",2008)</f>
        <v>5.4863592574626099E-3</v>
      </c>
      <c r="R39" s="204">
        <f>GETPIVOTDATA("dato",'[1]evolucion mensual nacionali'!$A$4,"indicador","RUSIA","mes",6,"año",2008)/GETPIVOTDATA("dato",'[1]evolucion mensual nacionali'!$A$4,"indicador","TOTAL","mes",6,"año",2008)</f>
        <v>3.4926859930446905E-2</v>
      </c>
      <c r="S39" s="204">
        <f>GETPIVOTDATA("dato",'[1]evolucion mensual nacionali'!$A$4,"indicador","PAÍSES DEL ESTE","mes",6,"año",2008)/GETPIVOTDATA("dato",'[1]evolucion mensual nacionali'!$A$4,"indicador","TOTAL","mes",6,"año",2008)</f>
        <v>1.7367777375429584E-2</v>
      </c>
      <c r="T39" s="204">
        <f>GETPIVOTDATA("dato",'[1]evolucion mensual nacionali'!$A$4,"indicador","RESTO DE EUROPA","mes",6,"año",2008)/GETPIVOTDATA("dato",'[1]evolucion mensual nacionali'!$A$4,"indicador","TOTAL","mes",6,"año",2008)</f>
        <v>3.3615052984702416E-2</v>
      </c>
      <c r="U39" s="204">
        <f>GETPIVOTDATA("dato",'[1]evolucion mensual nacionali'!$A$4,"indicador","USA","mes",6,"año",2008)/GETPIVOTDATA("dato",'[1]evolucion mensual nacionali'!$A$4,"indicador","TOTAL","mes",6,"año",2008)</f>
        <v>1.6329263543381867E-3</v>
      </c>
      <c r="V39" s="204">
        <f>GETPIVOTDATA("dato",'[1]evolucion mensual nacionali'!$A$4,"indicador","RESTO DE AMÉRICA","mes",6,"año",2008)/GETPIVOTDATA("dato",'[1]evolucion mensual nacionali'!$A$4,"indicador","TOTAL","mes",6,"año",2008)</f>
        <v>1.3118069457444847E-3</v>
      </c>
      <c r="W39" s="204">
        <f>GETPIVOTDATA("dato",'[1]evolucion mensual nacionali'!$A$4,"indicador","RESTO DEL MUNDO","mes",6,"año",2008)/GETPIVOTDATA("dato",'[1]evolucion mensual nacionali'!$A$4,"indicador","TOTAL","mes",6,"año",2008)</f>
        <v>4.9056113908569786E-3</v>
      </c>
      <c r="X39" s="204">
        <f>(GETPIVOTDATA("dato",'[1]evolucion mensual nacionali'!$A$4,"indicador","TOTAL","mes",6,"año",2008)-GETPIVOTDATA("dato",'[1]evolucion mensual nacionali'!$A$4,"indicador","España","mes",6,"año",2008))/GETPIVOTDATA("dato",'[1]evolucion mensual nacionali'!$A$4,"indicador","TOTAL","mes",6,"año",2008)</f>
        <v>0.72579818670019058</v>
      </c>
      <c r="Y39" s="206">
        <f>GETPIVOTDATA("dato",'[1]evolucion mensual nacionali'!$A$4,"indicador","TOTAL","mes",6,"año",2008)/GETPIVOTDATA("dato",'[1]evolucion mensual nacionali'!$A$4,"indicador","TOTAL","mes",6,"año",2008)</f>
        <v>1</v>
      </c>
    </row>
    <row r="40" spans="2:25" ht="15" hidden="1" customHeight="1" outlineLevel="1">
      <c r="B40" s="51" t="s">
        <v>44</v>
      </c>
      <c r="C40" s="204">
        <f>GETPIVOTDATA("dato",'[1]evolucion mensual nacionali'!$A$4,"indicador","España","mes",5,"año",2008)/GETPIVOTDATA("dato",'[1]evolucion mensual nacionali'!$A$4,"indicador","TOTAL","mes",5,"año",2008)</f>
        <v>0.24637633953291424</v>
      </c>
      <c r="D40" s="204">
        <f>GETPIVOTDATA("dato",'[1]evolucion mensual nacionali'!$A$4,"indicador","HOLANDA","mes",5,"año",2008)/GETPIVOTDATA("dato",'[1]evolucion mensual nacionali'!$A$4,"indicador","TOTAL","mes",5,"año",2008)</f>
        <v>3.6865248688967789E-2</v>
      </c>
      <c r="E40" s="204">
        <f>GETPIVOTDATA("dato",'[1]evolucion mensual nacionali'!$A$4,"indicador","BÉLGICA","mes",5,"año",2008)/GETPIVOTDATA("dato",'[1]evolucion mensual nacionali'!$A$4,"indicador","TOTAL","mes",5,"año",2008)</f>
        <v>1.9875574085534673E-2</v>
      </c>
      <c r="F40" s="204">
        <f>GETPIVOTDATA("dato",'[1]evolucion mensual nacionali'!$A$4,"indicador","ALEMANIA","mes",5,"año",2008)/GETPIVOTDATA("dato",'[1]evolucion mensual nacionali'!$A$4,"indicador","TOTAL","mes",5,"año",2008)</f>
        <v>0.14940881404514511</v>
      </c>
      <c r="G40" s="204">
        <f>GETPIVOTDATA("dato",'[1]evolucion mensual nacionali'!$A$4,"indicador","FRANCIA","mes",5,"año",2008)/GETPIVOTDATA("dato",'[1]evolucion mensual nacionali'!$A$4,"indicador","TOTAL","mes",5,"año",2008)</f>
        <v>1.8611771603530829E-2</v>
      </c>
      <c r="H40" s="204">
        <f>GETPIVOTDATA("dato",'[1]evolucion mensual nacionali'!$A$4,"indicador","REINO UNIDO","mes",5,"año",2008)/GETPIVOTDATA("dato",'[1]evolucion mensual nacionali'!$A$4,"indicador","TOTAL","mes",5,"año",2008)</f>
        <v>0.3590892804794632</v>
      </c>
      <c r="I40" s="204">
        <f>GETPIVOTDATA("dato",'[1]evolucion mensual nacionali'!$A$4,"indicador","IRLANDA","mes",5,"año",2008)/GETPIVOTDATA("dato",'[1]evolucion mensual nacionali'!$A$4,"indicador","TOTAL","mes",5,"año",2008)</f>
        <v>1.6911501254030813E-2</v>
      </c>
      <c r="J40" s="204">
        <f>GETPIVOTDATA("dato",'[1]evolucion mensual nacionali'!$A$4,"indicador","ITALIA","mes",5,"año",2008)/GETPIVOTDATA("dato",'[1]evolucion mensual nacionali'!$A$4,"indicador","TOTAL","mes",5,"año",2008)</f>
        <v>1.5328490928634246E-2</v>
      </c>
      <c r="K40" s="204">
        <f>(GETPIVOTDATA("dato",'[1]evolucion mensual nacionali'!$A$4,"indicador","SUECIA","mes",5,"año",2008)+GETPIVOTDATA("dato",'[1]evolucion mensual nacionali'!$A$4,"indicador","NORUEGA","mes",5,"año",2008)+GETPIVOTDATA("dato",'[1]evolucion mensual nacionali'!$A$4,"indicador","DINAMARCA","mes",5,"año",2008)+GETPIVOTDATA("dato",'[1]evolucion mensual nacionali'!$A$4,"indicador","FINLANDIA","mes",5,"año",2008))/GETPIVOTDATA("dato",'[1]evolucion mensual nacionali'!$A$4,"indicador","TOTAL","mes",5,"año",2008)</f>
        <v>1.066414774763037E-2</v>
      </c>
      <c r="L40" s="204">
        <f>GETPIVOTDATA("dato",'[1]evolucion mensual nacionali'!$A$4,"indicador","SUECIA","mes",5,"año",2008)/GETPIVOTDATA("dato",'[1]evolucion mensual nacionali'!$A$4,"indicador","TOTAL","mes",5,"año",2008)</f>
        <v>1.7979870362528907E-3</v>
      </c>
      <c r="M40" s="204">
        <f>GETPIVOTDATA("dato",'[1]evolucion mensual nacionali'!$A$4,"indicador","NORUEGA","mes",5,"año",2008)/GETPIVOTDATA("dato",'[1]evolucion mensual nacionali'!$A$4,"indicador","TOTAL","mes",5,"año",2008)</f>
        <v>2.3126282531513633E-3</v>
      </c>
      <c r="N40" s="204">
        <f>GETPIVOTDATA("dato",'[1]evolucion mensual nacionali'!$A$4,"indicador","DINAMARCA","mes",5,"año",2008)/GETPIVOTDATA("dato",'[1]evolucion mensual nacionali'!$A$4,"indicador","TOTAL","mes",5,"año",2008)</f>
        <v>4.9118921207778245E-3</v>
      </c>
      <c r="O40" s="204">
        <f>GETPIVOTDATA("dato",'[1]evolucion mensual nacionali'!$A$4,"indicador","FINLANDIA","mes",5,"año",2008)/GETPIVOTDATA("dato",'[1]evolucion mensual nacionali'!$A$4,"indicador","TOTAL","mes",5,"año",2008)</f>
        <v>1.6416403374482915E-3</v>
      </c>
      <c r="P40" s="204">
        <f>GETPIVOTDATA("dato",'[1]evolucion mensual nacionali'!$A$4,"indicador","SUIZA","mes",5,"año",2008)/GETPIVOTDATA("dato",'[1]evolucion mensual nacionali'!$A$4,"indicador","TOTAL","mes",5,"año",2008)</f>
        <v>6.9183414221035142E-3</v>
      </c>
      <c r="Q40" s="204">
        <f>GETPIVOTDATA("dato",'[1]evolucion mensual nacionali'!$A$4,"indicador","AUSTRIA","mes",5,"año",2008)/GETPIVOTDATA("dato",'[1]evolucion mensual nacionali'!$A$4,"indicador","TOTAL","mes",5,"año",2008)</f>
        <v>8.6967851210058306E-3</v>
      </c>
      <c r="R40" s="204">
        <f>GETPIVOTDATA("dato",'[1]evolucion mensual nacionali'!$A$4,"indicador","RUSIA","mes",5,"año",2008)/GETPIVOTDATA("dato",'[1]evolucion mensual nacionali'!$A$4,"indicador","TOTAL","mes",5,"año",2008)</f>
        <v>3.7353832122732161E-2</v>
      </c>
      <c r="S40" s="204">
        <f>GETPIVOTDATA("dato",'[1]evolucion mensual nacionali'!$A$4,"indicador","PAÍSES DEL ESTE","mes",5,"año",2008)/GETPIVOTDATA("dato",'[1]evolucion mensual nacionali'!$A$4,"indicador","TOTAL","mes",5,"año",2008)</f>
        <v>4.3783590111071302E-2</v>
      </c>
      <c r="T40" s="204">
        <f>GETPIVOTDATA("dato",'[1]evolucion mensual nacionali'!$A$4,"indicador","RESTO DE EUROPA","mes",5,"año",2008)/GETPIVOTDATA("dato",'[1]evolucion mensual nacionali'!$A$4,"indicador","TOTAL","mes",5,"año",2008)</f>
        <v>2.2657242435099832E-2</v>
      </c>
      <c r="U40" s="204">
        <f>GETPIVOTDATA("dato",'[1]evolucion mensual nacionali'!$A$4,"indicador","USA","mes",5,"año",2008)/GETPIVOTDATA("dato",'[1]evolucion mensual nacionali'!$A$4,"indicador","TOTAL","mes",5,"año",2008)</f>
        <v>1.6546692290153415E-3</v>
      </c>
      <c r="V40" s="204">
        <f>GETPIVOTDATA("dato",'[1]evolucion mensual nacionali'!$A$4,"indicador","RESTO DE AMÉRICA","mes",5,"año",2008)/GETPIVOTDATA("dato",'[1]evolucion mensual nacionali'!$A$4,"indicador","TOTAL","mes",5,"año",2008)</f>
        <v>1.8631314940881405E-3</v>
      </c>
      <c r="W40" s="204">
        <f>GETPIVOTDATA("dato",'[1]evolucion mensual nacionali'!$A$4,"indicador","RESTO DEL MUNDO","mes",5,"año",2008)/GETPIVOTDATA("dato",'[1]evolucion mensual nacionali'!$A$4,"indicador","TOTAL","mes",5,"año",2008)</f>
        <v>3.9412396990326044E-3</v>
      </c>
      <c r="X40" s="204">
        <f>(GETPIVOTDATA("dato",'[1]evolucion mensual nacionali'!$A$4,"indicador","TOTAL","mes",5,"año",2008)-GETPIVOTDATA("dato",'[1]evolucion mensual nacionali'!$A$4,"indicador","España","mes",5,"año",2008))/GETPIVOTDATA("dato",'[1]evolucion mensual nacionali'!$A$4,"indicador","TOTAL","mes",5,"año",2008)</f>
        <v>0.75362366046708573</v>
      </c>
      <c r="Y40" s="206">
        <f>GETPIVOTDATA("dato",'[1]evolucion mensual nacionali'!$A$4,"indicador","TOTAL","mes",5,"año",2008)/GETPIVOTDATA("dato",'[1]evolucion mensual nacionali'!$A$4,"indicador","TOTAL","mes",5,"año",2008)</f>
        <v>1</v>
      </c>
    </row>
    <row r="41" spans="2:25" ht="15" hidden="1" customHeight="1" outlineLevel="1">
      <c r="B41" s="51" t="s">
        <v>45</v>
      </c>
      <c r="C41" s="204">
        <f>GETPIVOTDATA("dato",'[1]evolucion mensual nacionali'!$A$4,"indicador","España","mes",4,"año",2008)/GETPIVOTDATA("dato",'[1]evolucion mensual nacionali'!$A$4,"indicador","TOTAL","mes",4,"año",2008)</f>
        <v>0.16047058212463156</v>
      </c>
      <c r="D41" s="204">
        <f>GETPIVOTDATA("dato",'[1]evolucion mensual nacionali'!$A$4,"indicador","HOLANDA","mes",4,"año",2008)/GETPIVOTDATA("dato",'[1]evolucion mensual nacionali'!$A$4,"indicador","TOTAL","mes",4,"año",2008)</f>
        <v>5.3557284024360156E-2</v>
      </c>
      <c r="E41" s="204">
        <f>GETPIVOTDATA("dato",'[1]evolucion mensual nacionali'!$A$4,"indicador","BÉLGICA","mes",4,"año",2008)/GETPIVOTDATA("dato",'[1]evolucion mensual nacionali'!$A$4,"indicador","TOTAL","mes",4,"año",2008)</f>
        <v>2.8768617470231524E-2</v>
      </c>
      <c r="F41" s="204">
        <f>GETPIVOTDATA("dato",'[1]evolucion mensual nacionali'!$A$4,"indicador","ALEMANIA","mes",4,"año",2008)/GETPIVOTDATA("dato",'[1]evolucion mensual nacionali'!$A$4,"indicador","TOTAL","mes",4,"año",2008)</f>
        <v>0.16518419446572569</v>
      </c>
      <c r="G41" s="204">
        <f>GETPIVOTDATA("dato",'[1]evolucion mensual nacionali'!$A$4,"indicador","FRANCIA","mes",4,"año",2008)/GETPIVOTDATA("dato",'[1]evolucion mensual nacionali'!$A$4,"indicador","TOTAL","mes",4,"año",2008)</f>
        <v>3.3638051706899014E-2</v>
      </c>
      <c r="H41" s="204">
        <f>GETPIVOTDATA("dato",'[1]evolucion mensual nacionali'!$A$4,"indicador","REINO UNIDO","mes",4,"año",2008)/GETPIVOTDATA("dato",'[1]evolucion mensual nacionali'!$A$4,"indicador","TOTAL","mes",4,"año",2008)</f>
        <v>0.37773824518575266</v>
      </c>
      <c r="I41" s="204">
        <f>GETPIVOTDATA("dato",'[1]evolucion mensual nacionali'!$A$4,"indicador","IRLANDA","mes",4,"año",2008)/GETPIVOTDATA("dato",'[1]evolucion mensual nacionali'!$A$4,"indicador","TOTAL","mes",4,"año",2008)</f>
        <v>1.4556362078144681E-2</v>
      </c>
      <c r="J41" s="204">
        <f>GETPIVOTDATA("dato",'[1]evolucion mensual nacionali'!$A$4,"indicador","ITALIA","mes",4,"año",2008)/GETPIVOTDATA("dato",'[1]evolucion mensual nacionali'!$A$4,"indicador","TOTAL","mes",4,"año",2008)</f>
        <v>1.6484658035865005E-2</v>
      </c>
      <c r="K41" s="204">
        <f>(GETPIVOTDATA("dato",'[1]evolucion mensual nacionali'!$A$4,"indicador","SUECIA","mes",4,"año",2008)+GETPIVOTDATA("dato",'[1]evolucion mensual nacionali'!$A$4,"indicador","NORUEGA","mes",4,"año",2008)+GETPIVOTDATA("dato",'[1]evolucion mensual nacionali'!$A$4,"indicador","DINAMARCA","mes",4,"año",2008)+GETPIVOTDATA("dato",'[1]evolucion mensual nacionali'!$A$4,"indicador","FINLANDIA","mes",4,"año",2008))/GETPIVOTDATA("dato",'[1]evolucion mensual nacionali'!$A$4,"indicador","TOTAL","mes",4,"año",2008)</f>
        <v>4.7915232888808092E-2</v>
      </c>
      <c r="L41" s="204">
        <f>GETPIVOTDATA("dato",'[1]evolucion mensual nacionali'!$A$4,"indicador","SUECIA","mes",4,"año",2008)/GETPIVOTDATA("dato",'[1]evolucion mensual nacionali'!$A$4,"indicador","TOTAL","mes",4,"año",2008)</f>
        <v>1.6718390879225047E-2</v>
      </c>
      <c r="M41" s="204">
        <f>GETPIVOTDATA("dato",'[1]evolucion mensual nacionali'!$A$4,"indicador","NORUEGA","mes",4,"año",2008)/GETPIVOTDATA("dato",'[1]evolucion mensual nacionali'!$A$4,"indicador","TOTAL","mes",4,"año",2008)</f>
        <v>6.4925789822233189E-3</v>
      </c>
      <c r="N41" s="204">
        <f>GETPIVOTDATA("dato",'[1]evolucion mensual nacionali'!$A$4,"indicador","DINAMARCA","mes",4,"año",2008)/GETPIVOTDATA("dato",'[1]evolucion mensual nacionali'!$A$4,"indicador","TOTAL","mes",4,"año",2008)</f>
        <v>1.7601381620807419E-2</v>
      </c>
      <c r="O41" s="204">
        <f>GETPIVOTDATA("dato",'[1]evolucion mensual nacionali'!$A$4,"indicador","FINLANDIA","mes",4,"año",2008)/GETPIVOTDATA("dato",'[1]evolucion mensual nacionali'!$A$4,"indicador","TOTAL","mes",4,"año",2008)</f>
        <v>7.102881406552311E-3</v>
      </c>
      <c r="P41" s="204">
        <f>GETPIVOTDATA("dato",'[1]evolucion mensual nacionali'!$A$4,"indicador","SUIZA","mes",4,"año",2008)/GETPIVOTDATA("dato",'[1]evolucion mensual nacionali'!$A$4,"indicador","TOTAL","mes",4,"año",2008)</f>
        <v>6.1484722961654831E-3</v>
      </c>
      <c r="Q41" s="204">
        <f>GETPIVOTDATA("dato",'[1]evolucion mensual nacionali'!$A$4,"indicador","AUSTRIA","mes",4,"año",2008)/GETPIVOTDATA("dato",'[1]evolucion mensual nacionali'!$A$4,"indicador","TOTAL","mes",4,"año",2008)</f>
        <v>6.6484008777966787E-3</v>
      </c>
      <c r="R41" s="204">
        <f>GETPIVOTDATA("dato",'[1]evolucion mensual nacionali'!$A$4,"indicador","RUSIA","mes",4,"año",2008)/GETPIVOTDATA("dato",'[1]evolucion mensual nacionali'!$A$4,"indicador","TOTAL","mes",4,"año",2008)</f>
        <v>2.9684071106725014E-2</v>
      </c>
      <c r="S41" s="204">
        <f>GETPIVOTDATA("dato",'[1]evolucion mensual nacionali'!$A$4,"indicador","PAÍSES DEL ESTE","mes",4,"año",2008)/GETPIVOTDATA("dato",'[1]evolucion mensual nacionali'!$A$4,"indicador","TOTAL","mes",4,"año",2008)</f>
        <v>2.5963823349911052E-2</v>
      </c>
      <c r="T41" s="204">
        <f>GETPIVOTDATA("dato",'[1]evolucion mensual nacionali'!$A$4,"indicador","RESTO DE EUROPA","mes",4,"año",2008)/GETPIVOTDATA("dato",'[1]evolucion mensual nacionali'!$A$4,"indicador","TOTAL","mes",4,"año",2008)</f>
        <v>2.3451195283790627E-2</v>
      </c>
      <c r="U41" s="204">
        <f>GETPIVOTDATA("dato",'[1]evolucion mensual nacionali'!$A$4,"indicador","USA","mes",4,"año",2008)/GETPIVOTDATA("dato",'[1]evolucion mensual nacionali'!$A$4,"indicador","TOTAL","mes",4,"año",2008)</f>
        <v>2.3113581176715014E-3</v>
      </c>
      <c r="V41" s="204">
        <f>GETPIVOTDATA("dato",'[1]evolucion mensual nacionali'!$A$4,"indicador","RESTO DE AMÉRICA","mes",4,"año",2008)/GETPIVOTDATA("dato",'[1]evolucion mensual nacionali'!$A$4,"indicador","TOTAL","mes",4,"año",2008)</f>
        <v>9.4142395242238124E-4</v>
      </c>
      <c r="W41" s="204">
        <f>GETPIVOTDATA("dato",'[1]evolucion mensual nacionali'!$A$4,"indicador","RESTO DEL MUNDO","mes",4,"año",2008)/GETPIVOTDATA("dato",'[1]evolucion mensual nacionali'!$A$4,"indicador","TOTAL","mes",4,"año",2008)</f>
        <v>6.5380270350988822E-3</v>
      </c>
      <c r="X41" s="204">
        <f>(GETPIVOTDATA("dato",'[1]evolucion mensual nacionali'!$A$4,"indicador","TOTAL","mes",4,"año",2008)-GETPIVOTDATA("dato",'[1]evolucion mensual nacionali'!$A$4,"indicador","España","mes",4,"año",2008))/GETPIVOTDATA("dato",'[1]evolucion mensual nacionali'!$A$4,"indicador","TOTAL","mes",4,"año",2008)</f>
        <v>0.8395294178753685</v>
      </c>
      <c r="Y41" s="206">
        <f>GETPIVOTDATA("dato",'[1]evolucion mensual nacionali'!$A$4,"indicador","TOTAL","mes",4,"año",2008)/GETPIVOTDATA("dato",'[1]evolucion mensual nacionali'!$A$4,"indicador","TOTAL","mes",4,"año",2008)</f>
        <v>1</v>
      </c>
    </row>
    <row r="42" spans="2:25" ht="15" hidden="1" customHeight="1" outlineLevel="1">
      <c r="B42" s="51" t="s">
        <v>46</v>
      </c>
      <c r="C42" s="204">
        <f>GETPIVOTDATA("dato",'[1]evolucion mensual nacionali'!$A$4,"indicador","España","mes",3,"año",2008)/GETPIVOTDATA("dato",'[1]evolucion mensual nacionali'!$A$4,"indicador","TOTAL","mes",3,"año",2008)</f>
        <v>0.14789557746924178</v>
      </c>
      <c r="D42" s="204">
        <f>GETPIVOTDATA("dato",'[1]evolucion mensual nacionali'!$A$4,"indicador","HOLANDA","mes",3,"año",2008)/GETPIVOTDATA("dato",'[1]evolucion mensual nacionali'!$A$4,"indicador","TOTAL","mes",3,"año",2008)</f>
        <v>3.6032205487143427E-2</v>
      </c>
      <c r="E42" s="204">
        <f>GETPIVOTDATA("dato",'[1]evolucion mensual nacionali'!$A$4,"indicador","BÉLGICA","mes",3,"año",2008)/GETPIVOTDATA("dato",'[1]evolucion mensual nacionali'!$A$4,"indicador","TOTAL","mes",3,"año",2008)</f>
        <v>3.7171499125087902E-2</v>
      </c>
      <c r="F42" s="204">
        <f>GETPIVOTDATA("dato",'[1]evolucion mensual nacionali'!$A$4,"indicador","ALEMANIA","mes",3,"año",2008)/GETPIVOTDATA("dato",'[1]evolucion mensual nacionali'!$A$4,"indicador","TOTAL","mes",3,"año",2008)</f>
        <v>0.16500133553560428</v>
      </c>
      <c r="G42" s="204">
        <f>GETPIVOTDATA("dato",'[1]evolucion mensual nacionali'!$A$4,"indicador","FRANCIA","mes",3,"año",2008)/GETPIVOTDATA("dato",'[1]evolucion mensual nacionali'!$A$4,"indicador","TOTAL","mes",3,"año",2008)</f>
        <v>2.3565389458535708E-2</v>
      </c>
      <c r="H42" s="204">
        <f>GETPIVOTDATA("dato",'[1]evolucion mensual nacionali'!$A$4,"indicador","REINO UNIDO","mes",3,"año",2008)/GETPIVOTDATA("dato",'[1]evolucion mensual nacionali'!$A$4,"indicador","TOTAL","mes",3,"año",2008)</f>
        <v>0.35080977066945768</v>
      </c>
      <c r="I42" s="204">
        <f>GETPIVOTDATA("dato",'[1]evolucion mensual nacionali'!$A$4,"indicador","IRLANDA","mes",3,"año",2008)/GETPIVOTDATA("dato",'[1]evolucion mensual nacionali'!$A$4,"indicador","TOTAL","mes",3,"año",2008)</f>
        <v>1.6337143698179856E-2</v>
      </c>
      <c r="J42" s="204">
        <f>GETPIVOTDATA("dato",'[1]evolucion mensual nacionali'!$A$4,"indicador","ITALIA","mes",3,"año",2008)/GETPIVOTDATA("dato",'[1]evolucion mensual nacionali'!$A$4,"indicador","TOTAL","mes",3,"año",2008)</f>
        <v>1.6675115973550945E-2</v>
      </c>
      <c r="K42" s="204">
        <f>(GETPIVOTDATA("dato",'[1]evolucion mensual nacionali'!$A$4,"indicador","SUECIA","mes",3,"año",2008)+GETPIVOTDATA("dato",'[1]evolucion mensual nacionali'!$A$4,"indicador","NORUEGA","mes",3,"año",2008)+GETPIVOTDATA("dato",'[1]evolucion mensual nacionali'!$A$4,"indicador","DINAMARCA","mes",3,"año",2008)+GETPIVOTDATA("dato",'[1]evolucion mensual nacionali'!$A$4,"indicador","FINLANDIA","mes",3,"año",2008))/GETPIVOTDATA("dato",'[1]evolucion mensual nacionali'!$A$4,"indicador","TOTAL","mes",3,"año",2008)</f>
        <v>0.1237959737689905</v>
      </c>
      <c r="L42" s="204">
        <f>GETPIVOTDATA("dato",'[1]evolucion mensual nacionali'!$A$4,"indicador","SUECIA","mes",3,"año",2008)/GETPIVOTDATA("dato",'[1]evolucion mensual nacionali'!$A$4,"indicador","TOTAL","mes",3,"año",2008)</f>
        <v>3.5209079461642874E-2</v>
      </c>
      <c r="M42" s="204">
        <f>GETPIVOTDATA("dato",'[1]evolucion mensual nacionali'!$A$4,"indicador","NORUEGA","mes",3,"año",2008)/GETPIVOTDATA("dato",'[1]evolucion mensual nacionali'!$A$4,"indicador","TOTAL","mes",3,"año",2008)</f>
        <v>2.2943956565111449E-2</v>
      </c>
      <c r="N42" s="204">
        <f>GETPIVOTDATA("dato",'[1]evolucion mensual nacionali'!$A$4,"indicador","DINAMARCA","mes",3,"año",2008)/GETPIVOTDATA("dato",'[1]evolucion mensual nacionali'!$A$4,"indicador","TOTAL","mes",3,"año",2008)</f>
        <v>4.4672303172033342E-2</v>
      </c>
      <c r="O42" s="204">
        <f>GETPIVOTDATA("dato",'[1]evolucion mensual nacionali'!$A$4,"indicador","FINLANDIA","mes",3,"año",2008)/GETPIVOTDATA("dato",'[1]evolucion mensual nacionali'!$A$4,"indicador","TOTAL","mes",3,"año",2008)</f>
        <v>2.0970634570202838E-2</v>
      </c>
      <c r="P42" s="204">
        <f>GETPIVOTDATA("dato",'[1]evolucion mensual nacionali'!$A$4,"indicador","SUIZA","mes",3,"año",2008)/GETPIVOTDATA("dato",'[1]evolucion mensual nacionali'!$A$4,"indicador","TOTAL","mes",3,"año",2008)</f>
        <v>4.2846162651883103E-3</v>
      </c>
      <c r="Q42" s="204">
        <f>GETPIVOTDATA("dato",'[1]evolucion mensual nacionali'!$A$4,"indicador","AUSTRIA","mes",3,"año",2008)/GETPIVOTDATA("dato",'[1]evolucion mensual nacionali'!$A$4,"indicador","TOTAL","mes",3,"año",2008)</f>
        <v>6.6449710270541354E-3</v>
      </c>
      <c r="R42" s="204">
        <f>GETPIVOTDATA("dato",'[1]evolucion mensual nacionali'!$A$4,"indicador","RUSIA","mes",3,"año",2008)/GETPIVOTDATA("dato",'[1]evolucion mensual nacionali'!$A$4,"indicador","TOTAL","mes",3,"año",2008)</f>
        <v>1.8893740426390183E-2</v>
      </c>
      <c r="S42" s="204">
        <f>GETPIVOTDATA("dato",'[1]evolucion mensual nacionali'!$A$4,"indicador","PAÍSES DEL ESTE","mes",3,"año",2008)/GETPIVOTDATA("dato",'[1]evolucion mensual nacionali'!$A$4,"indicador","TOTAL","mes",3,"año",2008)</f>
        <v>1.9199005707370521E-2</v>
      </c>
      <c r="T42" s="204">
        <f>GETPIVOTDATA("dato",'[1]evolucion mensual nacionali'!$A$4,"indicador","RESTO DE EUROPA","mes",3,"año",2008)/GETPIVOTDATA("dato",'[1]evolucion mensual nacionali'!$A$4,"indicador","TOTAL","mes",3,"año",2008)</f>
        <v>2.4464831804281346E-2</v>
      </c>
      <c r="U42" s="204">
        <f>GETPIVOTDATA("dato",'[1]evolucion mensual nacionali'!$A$4,"indicador","USA","mes",3,"año",2008)/GETPIVOTDATA("dato",'[1]evolucion mensual nacionali'!$A$4,"indicador","TOTAL","mes",3,"año",2008)</f>
        <v>2.2731361101571571E-3</v>
      </c>
      <c r="V42" s="204">
        <f>GETPIVOTDATA("dato",'[1]evolucion mensual nacionali'!$A$4,"indicador","RESTO DE AMÉRICA","mes",3,"año",2008)/GETPIVOTDATA("dato",'[1]evolucion mensual nacionali'!$A$4,"indicador","TOTAL","mes",3,"año",2008)</f>
        <v>7.0865154513292668E-4</v>
      </c>
      <c r="W42" s="204">
        <f>GETPIVOTDATA("dato",'[1]evolucion mensual nacionali'!$A$4,"indicador","RESTO DEL MUNDO","mes",3,"año",2008)/GETPIVOTDATA("dato",'[1]evolucion mensual nacionali'!$A$4,"indicador","TOTAL","mes",3,"año",2008)</f>
        <v>6.2470359286333384E-3</v>
      </c>
      <c r="X42" s="204">
        <f>(GETPIVOTDATA("dato",'[1]evolucion mensual nacionali'!$A$4,"indicador","TOTAL","mes",3,"año",2008)-GETPIVOTDATA("dato",'[1]evolucion mensual nacionali'!$A$4,"indicador","España","mes",3,"año",2008))/GETPIVOTDATA("dato",'[1]evolucion mensual nacionali'!$A$4,"indicador","TOTAL","mes",3,"año",2008)</f>
        <v>0.85210442253075824</v>
      </c>
      <c r="Y42" s="206">
        <f>GETPIVOTDATA("dato",'[1]evolucion mensual nacionali'!$A$4,"indicador","TOTAL","mes",3,"año",2008)/GETPIVOTDATA("dato",'[1]evolucion mensual nacionali'!$A$4,"indicador","TOTAL","mes",3,"año",2008)</f>
        <v>1</v>
      </c>
    </row>
    <row r="43" spans="2:25" ht="15" hidden="1" customHeight="1" outlineLevel="1">
      <c r="B43" s="51" t="s">
        <v>47</v>
      </c>
      <c r="C43" s="204">
        <f>GETPIVOTDATA("dato",'[1]evolucion mensual nacionali'!$A$4,"indicador","España","mes",2,"año",2008)/GETPIVOTDATA("dato",'[1]evolucion mensual nacionali'!$A$4,"indicador","TOTAL","mes",2,"año",2008)</f>
        <v>9.9444886897191151E-2</v>
      </c>
      <c r="D43" s="204">
        <f>GETPIVOTDATA("dato",'[1]evolucion mensual nacionali'!$A$4,"indicador","HOLANDA","mes",2,"año",2008)/GETPIVOTDATA("dato",'[1]evolucion mensual nacionali'!$A$4,"indicador","TOTAL","mes",2,"año",2008)</f>
        <v>4.8931971899627946E-2</v>
      </c>
      <c r="E43" s="204">
        <f>GETPIVOTDATA("dato",'[1]evolucion mensual nacionali'!$A$4,"indicador","BÉLGICA","mes",2,"año",2008)/GETPIVOTDATA("dato",'[1]evolucion mensual nacionali'!$A$4,"indicador","TOTAL","mes",2,"año",2008)</f>
        <v>3.5333483899342662E-2</v>
      </c>
      <c r="F43" s="204">
        <f>GETPIVOTDATA("dato",'[1]evolucion mensual nacionali'!$A$4,"indicador","ALEMANIA","mes",2,"año",2008)/GETPIVOTDATA("dato",'[1]evolucion mensual nacionali'!$A$4,"indicador","TOTAL","mes",2,"año",2008)</f>
        <v>0.13452280480701795</v>
      </c>
      <c r="G43" s="204">
        <f>GETPIVOTDATA("dato",'[1]evolucion mensual nacionali'!$A$4,"indicador","FRANCIA","mes",2,"año",2008)/GETPIVOTDATA("dato",'[1]evolucion mensual nacionali'!$A$4,"indicador","TOTAL","mes",2,"año",2008)</f>
        <v>3.3187918266430513E-2</v>
      </c>
      <c r="H43" s="204">
        <f>GETPIVOTDATA("dato",'[1]evolucion mensual nacionali'!$A$4,"indicador","REINO UNIDO","mes",2,"año",2008)/GETPIVOTDATA("dato",'[1]evolucion mensual nacionali'!$A$4,"indicador","TOTAL","mes",2,"año",2008)</f>
        <v>0.41105114885827382</v>
      </c>
      <c r="I43" s="204">
        <f>GETPIVOTDATA("dato",'[1]evolucion mensual nacionali'!$A$4,"indicador","IRLANDA","mes",2,"año",2008)/GETPIVOTDATA("dato",'[1]evolucion mensual nacionali'!$A$4,"indicador","TOTAL","mes",2,"año",2008)</f>
        <v>1.398480868211157E-2</v>
      </c>
      <c r="J43" s="204">
        <f>GETPIVOTDATA("dato",'[1]evolucion mensual nacionali'!$A$4,"indicador","ITALIA","mes",2,"año",2008)/GETPIVOTDATA("dato",'[1]evolucion mensual nacionali'!$A$4,"indicador","TOTAL","mes",2,"año",2008)</f>
        <v>2.1307071451495952E-2</v>
      </c>
      <c r="K43" s="204">
        <f>(GETPIVOTDATA("dato",'[1]evolucion mensual nacionali'!$A$4,"indicador","SUECIA","mes",2,"año",2008)+GETPIVOTDATA("dato",'[1]evolucion mensual nacionali'!$A$4,"indicador","NORUEGA","mes",2,"año",2008)+GETPIVOTDATA("dato",'[1]evolucion mensual nacionali'!$A$4,"indicador","DINAMARCA","mes",2,"año",2008)+GETPIVOTDATA("dato",'[1]evolucion mensual nacionali'!$A$4,"indicador","FINLANDIA","mes",2,"año",2008))/GETPIVOTDATA("dato",'[1]evolucion mensual nacionali'!$A$4,"indicador","TOTAL","mes",2,"año",2008)</f>
        <v>0.1133346012576224</v>
      </c>
      <c r="L43" s="204">
        <f>GETPIVOTDATA("dato",'[1]evolucion mensual nacionali'!$A$4,"indicador","SUECIA","mes",2,"año",2008)/GETPIVOTDATA("dato",'[1]evolucion mensual nacionali'!$A$4,"indicador","TOTAL","mes",2,"año",2008)</f>
        <v>2.9140466199912039E-2</v>
      </c>
      <c r="M43" s="204">
        <f>GETPIVOTDATA("dato",'[1]evolucion mensual nacionali'!$A$4,"indicador","NORUEGA","mes",2,"año",2008)/GETPIVOTDATA("dato",'[1]evolucion mensual nacionali'!$A$4,"indicador","TOTAL","mes",2,"año",2008)</f>
        <v>2.1515090280171647E-2</v>
      </c>
      <c r="N43" s="204">
        <f>GETPIVOTDATA("dato",'[1]evolucion mensual nacionali'!$A$4,"indicador","DINAMARCA","mes",2,"año",2008)/GETPIVOTDATA("dato",'[1]evolucion mensual nacionali'!$A$4,"indicador","TOTAL","mes",2,"año",2008)</f>
        <v>4.0094143378463516E-2</v>
      </c>
      <c r="O43" s="204">
        <f>GETPIVOTDATA("dato",'[1]evolucion mensual nacionali'!$A$4,"indicador","FINLANDIA","mes",2,"año",2008)/GETPIVOTDATA("dato",'[1]evolucion mensual nacionali'!$A$4,"indicador","TOTAL","mes",2,"año",2008)</f>
        <v>2.2584901399075208E-2</v>
      </c>
      <c r="P43" s="204">
        <f>GETPIVOTDATA("dato",'[1]evolucion mensual nacionali'!$A$4,"indicador","SUIZA","mes",2,"año",2008)/GETPIVOTDATA("dato",'[1]evolucion mensual nacionali'!$A$4,"indicador","TOTAL","mes",2,"año",2008)</f>
        <v>4.6536783672304965E-3</v>
      </c>
      <c r="Q43" s="204">
        <f>GETPIVOTDATA("dato",'[1]evolucion mensual nacionali'!$A$4,"indicador","AUSTRIA","mes",2,"año",2008)/GETPIVOTDATA("dato",'[1]evolucion mensual nacionali'!$A$4,"indicador","TOTAL","mes",2,"año",2008)</f>
        <v>8.3742437029728865E-3</v>
      </c>
      <c r="R43" s="204">
        <f>GETPIVOTDATA("dato",'[1]evolucion mensual nacionali'!$A$4,"indicador","RUSIA","mes",2,"año",2008)/GETPIVOTDATA("dato",'[1]evolucion mensual nacionali'!$A$4,"indicador","TOTAL","mes",2,"año",2008)</f>
        <v>1.9316034091314323E-2</v>
      </c>
      <c r="S43" s="204">
        <f>GETPIVOTDATA("dato",'[1]evolucion mensual nacionali'!$A$4,"indicador","PAÍSES DEL ESTE","mes",2,"año",2008)/GETPIVOTDATA("dato",'[1]evolucion mensual nacionali'!$A$4,"indicador","TOTAL","mes",2,"año",2008)</f>
        <v>2.0641411199733735E-2</v>
      </c>
      <c r="T43" s="204">
        <f>GETPIVOTDATA("dato",'[1]evolucion mensual nacionali'!$A$4,"indicador","RESTO DE EUROPA","mes",2,"año",2008)/GETPIVOTDATA("dato",'[1]evolucion mensual nacionali'!$A$4,"indicador","TOTAL","mes",2,"año",2008)</f>
        <v>2.9223673731382314E-2</v>
      </c>
      <c r="U43" s="204">
        <f>GETPIVOTDATA("dato",'[1]evolucion mensual nacionali'!$A$4,"indicador","USA","mes",2,"año",2008)/GETPIVOTDATA("dato",'[1]evolucion mensual nacionali'!$A$4,"indicador","TOTAL","mes",2,"año",2008)</f>
        <v>1.366980874154552E-3</v>
      </c>
      <c r="V43" s="204">
        <f>GETPIVOTDATA("dato",'[1]evolucion mensual nacionali'!$A$4,"indicador","RESTO DE AMÉRICA","mes",2,"año",2008)/GETPIVOTDATA("dato",'[1]evolucion mensual nacionali'!$A$4,"indicador","TOTAL","mes",2,"año",2008)</f>
        <v>7.8452815386261248E-4</v>
      </c>
      <c r="W43" s="204">
        <f>GETPIVOTDATA("dato",'[1]evolucion mensual nacionali'!$A$4,"indicador","RESTO DEL MUNDO","mes",2,"año",2008)/GETPIVOTDATA("dato",'[1]evolucion mensual nacionali'!$A$4,"indicador","TOTAL","mes",2,"año",2008)</f>
        <v>4.5407538602351208E-3</v>
      </c>
      <c r="X43" s="204">
        <f>(GETPIVOTDATA("dato",'[1]evolucion mensual nacionali'!$A$4,"indicador","TOTAL","mes",2,"año",2008)-GETPIVOTDATA("dato",'[1]evolucion mensual nacionali'!$A$4,"indicador","España","mes",2,"año",2008))/GETPIVOTDATA("dato",'[1]evolucion mensual nacionali'!$A$4,"indicador","TOTAL","mes",2,"año",2008)</f>
        <v>0.90055511310280889</v>
      </c>
      <c r="Y43" s="206">
        <f>GETPIVOTDATA("dato",'[1]evolucion mensual nacionali'!$A$4,"indicador","TOTAL","mes",2,"año",2008)/GETPIVOTDATA("dato",'[1]evolucion mensual nacionali'!$A$4,"indicador","TOTAL","mes",2,"año",2008)</f>
        <v>1</v>
      </c>
    </row>
    <row r="44" spans="2:25" ht="15" hidden="1" customHeight="1" outlineLevel="1">
      <c r="B44" s="51" t="s">
        <v>48</v>
      </c>
      <c r="C44" s="204">
        <f>GETPIVOTDATA("dato",'[1]evolucion mensual nacionali'!$A$4,"indicador","España","mes",1,"año",2008)/GETPIVOTDATA("dato",'[1]evolucion mensual nacionali'!$A$4,"indicador","TOTAL","mes",1,"año",2008)</f>
        <v>9.7470961252217408E-2</v>
      </c>
      <c r="D44" s="204">
        <f>GETPIVOTDATA("dato",'[1]evolucion mensual nacionali'!$A$4,"indicador","HOLANDA","mes",1,"año",2008)/GETPIVOTDATA("dato",'[1]evolucion mensual nacionali'!$A$4,"indicador","TOTAL","mes",1,"año",2008)</f>
        <v>3.4493070800850942E-2</v>
      </c>
      <c r="E44" s="204">
        <f>GETPIVOTDATA("dato",'[1]evolucion mensual nacionali'!$A$4,"indicador","BÉLGICA","mes",1,"año",2008)/GETPIVOTDATA("dato",'[1]evolucion mensual nacionali'!$A$4,"indicador","TOTAL","mes",1,"año",2008)</f>
        <v>3.7966166205626276E-2</v>
      </c>
      <c r="F44" s="204">
        <f>GETPIVOTDATA("dato",'[1]evolucion mensual nacionali'!$A$4,"indicador","ALEMANIA","mes",1,"año",2008)/GETPIVOTDATA("dato",'[1]evolucion mensual nacionali'!$A$4,"indicador","TOTAL","mes",1,"año",2008)</f>
        <v>0.14831000944736322</v>
      </c>
      <c r="G44" s="204">
        <f>GETPIVOTDATA("dato",'[1]evolucion mensual nacionali'!$A$4,"indicador","FRANCIA","mes",1,"año",2008)/GETPIVOTDATA("dato",'[1]evolucion mensual nacionali'!$A$4,"indicador","TOTAL","mes",1,"año",2008)</f>
        <v>2.8144986440654926E-2</v>
      </c>
      <c r="H44" s="204">
        <f>GETPIVOTDATA("dato",'[1]evolucion mensual nacionali'!$A$4,"indicador","REINO UNIDO","mes",1,"año",2008)/GETPIVOTDATA("dato",'[1]evolucion mensual nacionali'!$A$4,"indicador","TOTAL","mes",1,"año",2008)</f>
        <v>0.37319123774051693</v>
      </c>
      <c r="I44" s="204">
        <f>GETPIVOTDATA("dato",'[1]evolucion mensual nacionali'!$A$4,"indicador","IRLANDA","mes",1,"año",2008)/GETPIVOTDATA("dato",'[1]evolucion mensual nacionali'!$A$4,"indicador","TOTAL","mes",1,"año",2008)</f>
        <v>1.6978067164635596E-2</v>
      </c>
      <c r="J44" s="204">
        <f>GETPIVOTDATA("dato",'[1]evolucion mensual nacionali'!$A$4,"indicador","ITALIA","mes",1,"año",2008)/GETPIVOTDATA("dato",'[1]evolucion mensual nacionali'!$A$4,"indicador","TOTAL","mes",1,"año",2008)</f>
        <v>3.1896745077515956E-2</v>
      </c>
      <c r="K44" s="204">
        <f>(GETPIVOTDATA("dato",'[1]evolucion mensual nacionali'!$A$4,"indicador","SUECIA","mes",1,"año",2008)+GETPIVOTDATA("dato",'[1]evolucion mensual nacionali'!$A$4,"indicador","NORUEGA","mes",1,"año",2008)+GETPIVOTDATA("dato",'[1]evolucion mensual nacionali'!$A$4,"indicador","DINAMARCA","mes",1,"año",2008)+GETPIVOTDATA("dato",'[1]evolucion mensual nacionali'!$A$4,"indicador","FINLANDIA","mes",1,"año",2008))/GETPIVOTDATA("dato",'[1]evolucion mensual nacionali'!$A$4,"indicador","TOTAL","mes",1,"año",2008)</f>
        <v>0.12188457904860295</v>
      </c>
      <c r="L44" s="204">
        <f>GETPIVOTDATA("dato",'[1]evolucion mensual nacionali'!$A$4,"indicador","SUECIA","mes",1,"año",2008)/GETPIVOTDATA("dato",'[1]evolucion mensual nacionali'!$A$4,"indicador","TOTAL","mes",1,"año",2008)</f>
        <v>3.5070787257613964E-2</v>
      </c>
      <c r="M44" s="204">
        <f>GETPIVOTDATA("dato",'[1]evolucion mensual nacionali'!$A$4,"indicador","NORUEGA","mes",1,"año",2008)/GETPIVOTDATA("dato",'[1]evolucion mensual nacionali'!$A$4,"indicador","TOTAL","mes",1,"año",2008)</f>
        <v>2.2279465238460965E-2</v>
      </c>
      <c r="N44" s="204">
        <f>GETPIVOTDATA("dato",'[1]evolucion mensual nacionali'!$A$4,"indicador","DINAMARCA","mes",1,"año",2008)/GETPIVOTDATA("dato",'[1]evolucion mensual nacionali'!$A$4,"indicador","TOTAL","mes",1,"año",2008)</f>
        <v>4.239759126220851E-2</v>
      </c>
      <c r="O44" s="204">
        <f>GETPIVOTDATA("dato",'[1]evolucion mensual nacionali'!$A$4,"indicador","FINLANDIA","mes",1,"año",2008)/GETPIVOTDATA("dato",'[1]evolucion mensual nacionali'!$A$4,"indicador","TOTAL","mes",1,"año",2008)</f>
        <v>2.2136735290319513E-2</v>
      </c>
      <c r="P44" s="204">
        <f>GETPIVOTDATA("dato",'[1]evolucion mensual nacionali'!$A$4,"indicador","SUIZA","mes",1,"año",2008)/GETPIVOTDATA("dato",'[1]evolucion mensual nacionali'!$A$4,"indicador","TOTAL","mes",1,"año",2008)</f>
        <v>4.0644051899327814E-3</v>
      </c>
      <c r="Q44" s="204">
        <f>GETPIVOTDATA("dato",'[1]evolucion mensual nacionali'!$A$4,"indicador","AUSTRIA","mes",1,"año",2008)/GETPIVOTDATA("dato",'[1]evolucion mensual nacionali'!$A$4,"indicador","TOTAL","mes",1,"año",2008)</f>
        <v>8.6929335082341595E-3</v>
      </c>
      <c r="R44" s="204">
        <f>GETPIVOTDATA("dato",'[1]evolucion mensual nacionali'!$A$4,"indicador","RUSIA","mes",1,"año",2008)/GETPIVOTDATA("dato",'[1]evolucion mensual nacionali'!$A$4,"indicador","TOTAL","mes",1,"año",2008)</f>
        <v>3.3113347968816903E-2</v>
      </c>
      <c r="S44" s="204">
        <f>GETPIVOTDATA("dato",'[1]evolucion mensual nacionali'!$A$4,"indicador","PAÍSES DEL ESTE","mes",1,"año",2008)/GETPIVOTDATA("dato",'[1]evolucion mensual nacionali'!$A$4,"indicador","TOTAL","mes",1,"año",2008)</f>
        <v>2.3298964868042765E-2</v>
      </c>
      <c r="T44" s="204">
        <f>GETPIVOTDATA("dato",'[1]evolucion mensual nacionali'!$A$4,"indicador","RESTO DE EUROPA","mes",1,"año",2008)/GETPIVOTDATA("dato",'[1]evolucion mensual nacionali'!$A$4,"indicador","TOTAL","mes",1,"año",2008)</f>
        <v>3.4228000897159674E-2</v>
      </c>
      <c r="U44" s="204">
        <f>GETPIVOTDATA("dato",'[1]evolucion mensual nacionali'!$A$4,"indicador","USA","mes",1,"año",2008)/GETPIVOTDATA("dato",'[1]evolucion mensual nacionali'!$A$4,"indicador","TOTAL","mes",1,"año",2008)</f>
        <v>1.3049595258647056E-3</v>
      </c>
      <c r="V44" s="204">
        <f>GETPIVOTDATA("dato",'[1]evolucion mensual nacionali'!$A$4,"indicador","RESTO DE AMÉRICA","mes",1,"año",2008)/GETPIVOTDATA("dato",'[1]evolucion mensual nacionali'!$A$4,"indicador","TOTAL","mes",1,"año",2008)</f>
        <v>1.3865194962312498E-3</v>
      </c>
      <c r="W44" s="204">
        <f>GETPIVOTDATA("dato",'[1]evolucion mensual nacionali'!$A$4,"indicador","RESTO DEL MUNDO","mes",1,"año",2008)/GETPIVOTDATA("dato",'[1]evolucion mensual nacionali'!$A$4,"indicador","TOTAL","mes",1,"año",2008)</f>
        <v>3.5750453677335166E-3</v>
      </c>
      <c r="X44" s="204">
        <f>(GETPIVOTDATA("dato",'[1]evolucion mensual nacionali'!$A$4,"indicador","TOTAL","mes",1,"año",2008)-GETPIVOTDATA("dato",'[1]evolucion mensual nacionali'!$A$4,"indicador","España","mes",1,"año",2008))/GETPIVOTDATA("dato",'[1]evolucion mensual nacionali'!$A$4,"indicador","TOTAL","mes",1,"año",2008)</f>
        <v>0.90252903874778256</v>
      </c>
      <c r="Y44" s="206">
        <f>GETPIVOTDATA("dato",'[1]evolucion mensual nacionali'!$A$4,"indicador","TOTAL","mes",1,"año",2008)/GETPIVOTDATA("dato",'[1]evolucion mensual nacionali'!$A$4,"indicador","TOTAL","mes",1,"año",2008)</f>
        <v>1</v>
      </c>
    </row>
    <row r="45" spans="2:25" collapsed="1">
      <c r="B45" s="215">
        <v>2008</v>
      </c>
      <c r="C45" s="217">
        <f>GETPIVOTDATA("dato",'[1]evolucion mensual nacionali'!$A$4,"indicador","España","año",2008)/GETPIVOTDATA("dato",'[1]evolucion mensual nacionali'!$A$4,"indicador","TOTAL","año",2008)</f>
        <v>0.19958218743389042</v>
      </c>
      <c r="D45" s="217">
        <f>GETPIVOTDATA("dato",'[1]evolucion mensual nacionali'!$A$4,"indicador","HOLANDA","año",2008)/GETPIVOTDATA("dato",'[1]evolucion mensual nacionali'!$A$4,"indicador","TOTAL","año",2008)</f>
        <v>3.9416649037444469E-2</v>
      </c>
      <c r="E45" s="217">
        <f>GETPIVOTDATA("dato",'[1]evolucion mensual nacionali'!$A$4,"indicador","BÉLGICA","año",2008)/GETPIVOTDATA("dato",'[1]evolucion mensual nacionali'!$A$4,"indicador","TOTAL","año",2008)</f>
        <v>3.0854664692193782E-2</v>
      </c>
      <c r="F45" s="217">
        <f>GETPIVOTDATA("dato",'[1]evolucion mensual nacionali'!$A$4,"indicador","ALEMANIA","año",2008)/GETPIVOTDATA("dato",'[1]evolucion mensual nacionali'!$A$4,"indicador","TOTAL","año",2008)</f>
        <v>0.14241379310344829</v>
      </c>
      <c r="G45" s="217">
        <f>GETPIVOTDATA("dato",'[1]evolucion mensual nacionali'!$A$4,"indicador","FRANCIA","año",2008)/GETPIVOTDATA("dato",'[1]evolucion mensual nacionali'!$A$4,"indicador","TOTAL","año",2008)</f>
        <v>2.4365348000846204E-2</v>
      </c>
      <c r="H45" s="217">
        <f>GETPIVOTDATA("dato",'[1]evolucion mensual nacionali'!$A$4,"indicador","REINO UNIDO","año",2008)/GETPIVOTDATA("dato",'[1]evolucion mensual nacionali'!$A$4,"indicador","TOTAL","año",2008)</f>
        <v>0.35501375079331499</v>
      </c>
      <c r="I45" s="217">
        <f>GETPIVOTDATA("dato",'[1]evolucion mensual nacionali'!$A$4,"indicador","IRLANDA","año",2008)/GETPIVOTDATA("dato",'[1]evolucion mensual nacionali'!$A$4,"indicador","TOTAL","año",2008)</f>
        <v>1.7504231013327692E-2</v>
      </c>
      <c r="J45" s="217">
        <f>GETPIVOTDATA("dato",'[1]evolucion mensual nacionali'!$A$4,"indicador","ITALIA","año",2008)/GETPIVOTDATA("dato",'[1]evolucion mensual nacionali'!$A$4,"indicador","TOTAL","año",2008)</f>
        <v>2.1564946054580071E-2</v>
      </c>
      <c r="K45" s="217">
        <f>(GETPIVOTDATA("dato",'[1]evolucion mensual nacionali'!$A$4,"indicador","SUECIA","año",2008)+GETPIVOTDATA("dato",'[1]evolucion mensual nacionali'!$A$4,"indicador","NORUEGA","año",2008)+GETPIVOTDATA("dato",'[1]evolucion mensual nacionali'!$A$4,"indicador","DINAMARCA","año",2008)+GETPIVOTDATA("dato",'[1]evolucion mensual nacionali'!$A$4,"indicador","FINLANDIA","año",2008))/GETPIVOTDATA("dato",'[1]evolucion mensual nacionali'!$A$4,"indicador","TOTAL","año",2008)</f>
        <v>6.6916120160778511E-2</v>
      </c>
      <c r="L45" s="217">
        <f>GETPIVOTDATA("dato",'[1]evolucion mensual nacionali'!$A$4,"indicador","SUECIA","año",2008)/GETPIVOTDATA("dato",'[1]evolucion mensual nacionali'!$A$4,"indicador","TOTAL","año",2008)</f>
        <v>1.9419293420774274E-2</v>
      </c>
      <c r="M45" s="217">
        <f>GETPIVOTDATA("dato",'[1]evolucion mensual nacionali'!$A$4,"indicador","NORUEGA","año",2008)/GETPIVOTDATA("dato",'[1]evolucion mensual nacionali'!$A$4,"indicador","TOTAL","año",2008)</f>
        <v>1.3162153585783796E-2</v>
      </c>
      <c r="N45" s="217">
        <f>GETPIVOTDATA("dato",'[1]evolucion mensual nacionali'!$A$4,"indicador","DINAMARCA","año",2008)/GETPIVOTDATA("dato",'[1]evolucion mensual nacionali'!$A$4,"indicador","TOTAL","año",2008)</f>
        <v>2.3466257668711656E-2</v>
      </c>
      <c r="O45" s="217">
        <f>GETPIVOTDATA("dato",'[1]evolucion mensual nacionali'!$A$4,"indicador","FINLANDIA","año",2008)/GETPIVOTDATA("dato",'[1]evolucion mensual nacionali'!$A$4,"indicador","TOTAL","año",2008)</f>
        <v>1.086841548550878E-2</v>
      </c>
      <c r="P45" s="217">
        <f>GETPIVOTDATA("dato",'[1]evolucion mensual nacionali'!$A$4,"indicador","SUIZA","año",2008)/GETPIVOTDATA("dato",'[1]evolucion mensual nacionali'!$A$4,"indicador","TOTAL","año",2008)</f>
        <v>6.1206896551724141E-3</v>
      </c>
      <c r="Q45" s="217">
        <f>GETPIVOTDATA("dato",'[1]evolucion mensual nacionali'!$A$4,"indicador","AUSTRIA","año",2008)/GETPIVOTDATA("dato",'[1]evolucion mensual nacionali'!$A$4,"indicador","TOTAL","año",2008)</f>
        <v>6.7780833509625557E-3</v>
      </c>
      <c r="R45" s="217">
        <f>GETPIVOTDATA("dato",'[1]evolucion mensual nacionali'!$A$4,"indicador","RUSIA","año",2008)/GETPIVOTDATA("dato",'[1]evolucion mensual nacionali'!$A$4,"indicador","TOTAL","año",2008)</f>
        <v>3.1034482758620689E-2</v>
      </c>
      <c r="S45" s="217">
        <f>GETPIVOTDATA("dato",'[1]evolucion mensual nacionali'!$A$4,"indicador","PAÍSES DEL ESTE","año",2008)/GETPIVOTDATA("dato",'[1]evolucion mensual nacionali'!$A$4,"indicador","TOTAL","año",2008)</f>
        <v>2.3716416331711444E-2</v>
      </c>
      <c r="T45" s="217">
        <f>GETPIVOTDATA("dato",'[1]evolucion mensual nacionali'!$A$4,"indicador","RESTO DE EUROPA","año",2008)/GETPIVOTDATA("dato",'[1]evolucion mensual nacionali'!$A$4,"indicador","TOTAL","año",2008)</f>
        <v>2.7628517029828645E-2</v>
      </c>
      <c r="U45" s="217">
        <f>GETPIVOTDATA("dato",'[1]evolucion mensual nacionali'!$A$4,"indicador","USA","año",2008)/GETPIVOTDATA("dato",'[1]evolucion mensual nacionali'!$A$4,"indicador","TOTAL","año",2008)</f>
        <v>1.8161624709117834E-3</v>
      </c>
      <c r="V45" s="217">
        <f>GETPIVOTDATA("dato",'[1]evolucion mensual nacionali'!$A$4,"indicador","RESTO DE AMÉRICA","año",2008)/GETPIVOTDATA("dato",'[1]evolucion mensual nacionali'!$A$4,"indicador","TOTAL","año",2008)</f>
        <v>1.2058387983922148E-3</v>
      </c>
      <c r="W45" s="217">
        <f>GETPIVOTDATA("dato",'[1]evolucion mensual nacionali'!$A$4,"indicador","RESTO DEL MUNDO","año",2008)/GETPIVOTDATA("dato",'[1]evolucion mensual nacionali'!$A$4,"indicador","TOTAL","año",2008)</f>
        <v>4.0681193145758413E-3</v>
      </c>
      <c r="X45" s="217">
        <f>(GETPIVOTDATA("dato",'[1]evolucion mensual nacionali'!$A$4,"indicador","TOTAL","año",2008)-GETPIVOTDATA("dato",'[1]evolucion mensual nacionali'!$A$4,"indicador","España","año",2008))/GETPIVOTDATA("dato",'[1]evolucion mensual nacionali'!$A$4,"indicador","TOTAL","año",2008)</f>
        <v>0.80041781256610955</v>
      </c>
      <c r="Y45" s="298">
        <f>GETPIVOTDATA("dato",'[1]evolucion mensual nacionali'!$A$4,"indicador","TOTAL","año",2008)/GETPIVOTDATA("dato",'[1]evolucion mensual nacionali'!$A$4,"indicador","TOTAL","año",2008)</f>
        <v>1</v>
      </c>
    </row>
    <row r="46" spans="2:25" hidden="1" outlineLevel="1">
      <c r="B46" s="51" t="s">
        <v>37</v>
      </c>
      <c r="C46" s="204">
        <f>GETPIVOTDATA("dato",'[1]evolucion mensual nacionali'!$A$4,"indicador","España","mes",12,"año",2007)/GETPIVOTDATA("dato",'[1]evolucion mensual nacionali'!$A$4,"indicador","TOTAL","mes",12,"año",2007)</f>
        <v>8.9455459443560564E-2</v>
      </c>
      <c r="D46" s="204">
        <f>GETPIVOTDATA("dato",'[1]evolucion mensual nacionali'!$A$4,"indicador","HOLANDA","mes",12,"año",2007)/GETPIVOTDATA("dato",'[1]evolucion mensual nacionali'!$A$4,"indicador","TOTAL","mes",12,"año",2007)</f>
        <v>3.2267336925277751E-2</v>
      </c>
      <c r="E46" s="204">
        <f>GETPIVOTDATA("dato",'[1]evolucion mensual nacionali'!$A$4,"indicador","BÉLGICA","mes",12,"año",2007)/GETPIVOTDATA("dato",'[1]evolucion mensual nacionali'!$A$4,"indicador","TOTAL","mes",12,"año",2007)</f>
        <v>4.1251654478120778E-2</v>
      </c>
      <c r="F46" s="204">
        <f>GETPIVOTDATA("dato",'[1]evolucion mensual nacionali'!$A$4,"indicador","ALEMANIA","mes",12,"año",2007)/GETPIVOTDATA("dato",'[1]evolucion mensual nacionali'!$A$4,"indicador","TOTAL","mes",12,"año",2007)</f>
        <v>0.13841464229848791</v>
      </c>
      <c r="G46" s="204">
        <f>GETPIVOTDATA("dato",'[1]evolucion mensual nacionali'!$A$4,"indicador","FRANCIA","mes",12,"año",2007)/GETPIVOTDATA("dato",'[1]evolucion mensual nacionali'!$A$4,"indicador","TOTAL","mes",12,"año",2007)</f>
        <v>2.2975520408572536E-2</v>
      </c>
      <c r="H46" s="204">
        <f>GETPIVOTDATA("dato",'[1]evolucion mensual nacionali'!$A$4,"indicador","REINO UNIDO","mes",12,"año",2007)/GETPIVOTDATA("dato",'[1]evolucion mensual nacionali'!$A$4,"indicador","TOTAL","mes",12,"año",2007)</f>
        <v>0.41325855315052745</v>
      </c>
      <c r="I46" s="204">
        <f>GETPIVOTDATA("dato",'[1]evolucion mensual nacionali'!$A$4,"indicador","IRLANDA","mes",12,"año",2007)/GETPIVOTDATA("dato",'[1]evolucion mensual nacionali'!$A$4,"indicador","TOTAL","mes",12,"año",2007)</f>
        <v>1.3476476329264542E-2</v>
      </c>
      <c r="J46" s="204">
        <f>GETPIVOTDATA("dato",'[1]evolucion mensual nacionali'!$A$4,"indicador","ITALIA","mes",12,"año",2007)/GETPIVOTDATA("dato",'[1]evolucion mensual nacionali'!$A$4,"indicador","TOTAL","mes",12,"año",2007)</f>
        <v>2.4392689546372182E-2</v>
      </c>
      <c r="K46" s="204">
        <f>(GETPIVOTDATA("dato",'[1]evolucion mensual nacionali'!$A$4,"indicador","SUECIA","mes",12,"año",2007)+GETPIVOTDATA("dato",'[1]evolucion mensual nacionali'!$A$4,"indicador","NORUEGA","mes",12,"año",2007)+GETPIVOTDATA("dato",'[1]evolucion mensual nacionali'!$A$4,"indicador","DINAMARCA","mes",12,"año",2007)+GETPIVOTDATA("dato",'[1]evolucion mensual nacionali'!$A$4,"indicador","FINLANDIA","mes",12,"año",2007))/GETPIVOTDATA("dato",'[1]evolucion mensual nacionali'!$A$4,"indicador","TOTAL","mes",12,"año",2007)</f>
        <v>0.1311215690468869</v>
      </c>
      <c r="L46" s="204">
        <f>GETPIVOTDATA("dato",'[1]evolucion mensual nacionali'!$A$4,"indicador","SUECIA","mes",12,"año",2007)/GETPIVOTDATA("dato",'[1]evolucion mensual nacionali'!$A$4,"indicador","TOTAL","mes",12,"año",2007)</f>
        <v>3.7514873591186812E-2</v>
      </c>
      <c r="M46" s="204">
        <f>GETPIVOTDATA("dato",'[1]evolucion mensual nacionali'!$A$4,"indicador","NORUEGA","mes",12,"año",2007)/GETPIVOTDATA("dato",'[1]evolucion mensual nacionali'!$A$4,"indicador","TOTAL","mes",12,"año",2007)</f>
        <v>2.2668021444710348E-2</v>
      </c>
      <c r="N46" s="204">
        <f>GETPIVOTDATA("dato",'[1]evolucion mensual nacionali'!$A$4,"indicador","DINAMARCA","mes",12,"año",2007)/GETPIVOTDATA("dato",'[1]evolucion mensual nacionali'!$A$4,"indicador","TOTAL","mes",12,"año",2007)</f>
        <v>4.4928272524299102E-2</v>
      </c>
      <c r="O46" s="204">
        <f>GETPIVOTDATA("dato",'[1]evolucion mensual nacionali'!$A$4,"indicador","FINLANDIA","mes",12,"año",2007)/GETPIVOTDATA("dato",'[1]evolucion mensual nacionali'!$A$4,"indicador","TOTAL","mes",12,"año",2007)</f>
        <v>2.6010401486690642E-2</v>
      </c>
      <c r="P46" s="204">
        <f>GETPIVOTDATA("dato",'[1]evolucion mensual nacionali'!$A$4,"indicador","SUIZA","mes",12,"año",2007)/GETPIVOTDATA("dato",'[1]evolucion mensual nacionali'!$A$4,"indicador","TOTAL","mes",12,"año",2007)</f>
        <v>5.2943299864967848E-3</v>
      </c>
      <c r="Q46" s="204">
        <f>GETPIVOTDATA("dato",'[1]evolucion mensual nacionali'!$A$4,"indicador","AUSTRIA","mes",12,"año",2007)/GETPIVOTDATA("dato",'[1]evolucion mensual nacionali'!$A$4,"indicador","TOTAL","mes",12,"año",2007)</f>
        <v>6.5644344024492962E-3</v>
      </c>
      <c r="R46" s="204">
        <f>GETPIVOTDATA("dato",'[1]evolucion mensual nacionali'!$A$4,"indicador","RUSIA","mes",12,"año",2007)/GETPIVOTDATA("dato",'[1]evolucion mensual nacionali'!$A$4,"indicador","TOTAL","mes",12,"año",2007)</f>
        <v>2.2647967164458469E-2</v>
      </c>
      <c r="S46" s="204">
        <f>GETPIVOTDATA("dato",'[1]evolucion mensual nacionali'!$A$4,"indicador","PAÍSES DEL ESTE","mes",12,"año",2007)/GETPIVOTDATA("dato",'[1]evolucion mensual nacionali'!$A$4,"indicador","TOTAL","mes",12,"año",2007)</f>
        <v>2.2320413920344399E-2</v>
      </c>
      <c r="T46" s="204">
        <f>GETPIVOTDATA("dato",'[1]evolucion mensual nacionali'!$A$4,"indicador","RESTO DE EUROPA","mes",12,"año",2007)/GETPIVOTDATA("dato",'[1]evolucion mensual nacionali'!$A$4,"indicador","TOTAL","mes",12,"año",2007)</f>
        <v>2.724708210222335E-2</v>
      </c>
      <c r="U46" s="204">
        <f>GETPIVOTDATA("dato",'[1]evolucion mensual nacionali'!$A$4,"indicador","USA","mes",12,"año",2007)/GETPIVOTDATA("dato",'[1]evolucion mensual nacionali'!$A$4,"indicador","TOTAL","mes",12,"año",2007)</f>
        <v>1.4973862588071715E-3</v>
      </c>
      <c r="V46" s="204">
        <f>GETPIVOTDATA("dato",'[1]evolucion mensual nacionali'!$A$4,"indicador","RESTO DE AMÉRICA","mes",12,"año",2007)/GETPIVOTDATA("dato",'[1]evolucion mensual nacionali'!$A$4,"indicador","TOTAL","mes",12,"año",2007)</f>
        <v>1.504071018891132E-3</v>
      </c>
      <c r="W46" s="204">
        <f>GETPIVOTDATA("dato",'[1]evolucion mensual nacionali'!$A$4,"indicador","RESTO DEL MUNDO","mes",12,"año",2007)/GETPIVOTDATA("dato",'[1]evolucion mensual nacionali'!$A$4,"indicador","TOTAL","mes",12,"año",2007)</f>
        <v>6.3104135192587939E-3</v>
      </c>
      <c r="X46" s="204">
        <f>(GETPIVOTDATA("dato",'[1]evolucion mensual nacionali'!$A$4,"indicador","TOTAL","mes",12,"año",2007)-GETPIVOTDATA("dato",'[1]evolucion mensual nacionali'!$A$4,"indicador","España","mes",12,"año",2007))/GETPIVOTDATA("dato",'[1]evolucion mensual nacionali'!$A$4,"indicador","TOTAL","mes",12,"año",2007)</f>
        <v>0.91054454055643941</v>
      </c>
      <c r="Y46" s="206">
        <f>GETPIVOTDATA("dato",'[1]evolucion mensual nacionali'!$A$4,"indicador","TOTAL","mes",12,"año",2007)/GETPIVOTDATA("dato",'[1]evolucion mensual nacionali'!$A$4,"indicador","TOTAL","mes",12,"año",2007)</f>
        <v>1</v>
      </c>
    </row>
    <row r="47" spans="2:25" hidden="1" outlineLevel="1">
      <c r="B47" s="51" t="s">
        <v>38</v>
      </c>
      <c r="C47" s="204">
        <f>GETPIVOTDATA("dato",'[1]evolucion mensual nacionali'!$A$4,"indicador","España","mes",11,"año",2007)/GETPIVOTDATA("dato",'[1]evolucion mensual nacionali'!$A$4,"indicador","TOTAL","mes",11,"año",2007)</f>
        <v>9.6962165814110601E-2</v>
      </c>
      <c r="D47" s="204">
        <f>GETPIVOTDATA("dato",'[1]evolucion mensual nacionali'!$A$4,"indicador","HOLANDA","mes",11,"año",2007)/GETPIVOTDATA("dato",'[1]evolucion mensual nacionali'!$A$4,"indicador","TOTAL","mes",11,"año",2007)</f>
        <v>3.2646462696650905E-2</v>
      </c>
      <c r="E47" s="204">
        <f>GETPIVOTDATA("dato",'[1]evolucion mensual nacionali'!$A$4,"indicador","BÉLGICA","mes",11,"año",2007)/GETPIVOTDATA("dato",'[1]evolucion mensual nacionali'!$A$4,"indicador","TOTAL","mes",11,"año",2007)</f>
        <v>3.1542563459125567E-2</v>
      </c>
      <c r="F47" s="204">
        <f>GETPIVOTDATA("dato",'[1]evolucion mensual nacionali'!$A$4,"indicador","ALEMANIA","mes",11,"año",2007)/GETPIVOTDATA("dato",'[1]evolucion mensual nacionali'!$A$4,"indicador","TOTAL","mes",11,"año",2007)</f>
        <v>0.16174838336067948</v>
      </c>
      <c r="G47" s="204">
        <f>GETPIVOTDATA("dato",'[1]evolucion mensual nacionali'!$A$4,"indicador","FRANCIA","mes",11,"año",2007)/GETPIVOTDATA("dato",'[1]evolucion mensual nacionali'!$A$4,"indicador","TOTAL","mes",11,"año",2007)</f>
        <v>1.5804459029051251E-2</v>
      </c>
      <c r="H47" s="204">
        <f>GETPIVOTDATA("dato",'[1]evolucion mensual nacionali'!$A$4,"indicador","REINO UNIDO","mes",11,"año",2007)/GETPIVOTDATA("dato",'[1]evolucion mensual nacionali'!$A$4,"indicador","TOTAL","mes",11,"año",2007)</f>
        <v>0.40689243316282214</v>
      </c>
      <c r="I47" s="204">
        <f>GETPIVOTDATA("dato",'[1]evolucion mensual nacionali'!$A$4,"indicador","IRLANDA","mes",11,"año",2007)/GETPIVOTDATA("dato",'[1]evolucion mensual nacionali'!$A$4,"indicador","TOTAL","mes",11,"año",2007)</f>
        <v>9.904931956374867E-3</v>
      </c>
      <c r="J47" s="204">
        <f>GETPIVOTDATA("dato",'[1]evolucion mensual nacionali'!$A$4,"indicador","ITALIA","mes",11,"año",2007)/GETPIVOTDATA("dato",'[1]evolucion mensual nacionali'!$A$4,"indicador","TOTAL","mes",11,"año",2007)</f>
        <v>1.6413714892384905E-2</v>
      </c>
      <c r="K47" s="204">
        <f>(GETPIVOTDATA("dato",'[1]evolucion mensual nacionali'!$A$4,"indicador","SUECIA","mes",11,"año",2007)+GETPIVOTDATA("dato",'[1]evolucion mensual nacionali'!$A$4,"indicador","NORUEGA","mes",11,"año",2007)+GETPIVOTDATA("dato",'[1]evolucion mensual nacionali'!$A$4,"indicador","DINAMARCA","mes",11,"año",2007)+GETPIVOTDATA("dato",'[1]evolucion mensual nacionali'!$A$4,"indicador","FINLANDIA","mes",11,"año",2007))/GETPIVOTDATA("dato",'[1]evolucion mensual nacionali'!$A$4,"indicador","TOTAL","mes",11,"año",2007)</f>
        <v>0.12866759965254318</v>
      </c>
      <c r="L47" s="204">
        <f>GETPIVOTDATA("dato",'[1]evolucion mensual nacionali'!$A$4,"indicador","SUECIA","mes",11,"año",2007)/GETPIVOTDATA("dato",'[1]evolucion mensual nacionali'!$A$4,"indicador","TOTAL","mes",11,"año",2007)</f>
        <v>4.1194141492133962E-2</v>
      </c>
      <c r="M47" s="204">
        <f>GETPIVOTDATA("dato",'[1]evolucion mensual nacionali'!$A$4,"indicador","NORUEGA","mes",11,"año",2007)/GETPIVOTDATA("dato",'[1]evolucion mensual nacionali'!$A$4,"indicador","TOTAL","mes",11,"año",2007)</f>
        <v>2.8303252581797125E-2</v>
      </c>
      <c r="N47" s="204">
        <f>GETPIVOTDATA("dato",'[1]evolucion mensual nacionali'!$A$4,"indicador","DINAMARCA","mes",11,"año",2007)/GETPIVOTDATA("dato",'[1]evolucion mensual nacionali'!$A$4,"indicador","TOTAL","mes",11,"año",2007)</f>
        <v>3.2586140333944601E-2</v>
      </c>
      <c r="O47" s="204">
        <f>GETPIVOTDATA("dato",'[1]evolucion mensual nacionali'!$A$4,"indicador","FINLANDIA","mes",11,"año",2007)/GETPIVOTDATA("dato",'[1]evolucion mensual nacionali'!$A$4,"indicador","TOTAL","mes",11,"año",2007)</f>
        <v>2.6584065244667502E-2</v>
      </c>
      <c r="P47" s="204">
        <f>GETPIVOTDATA("dato",'[1]evolucion mensual nacionali'!$A$4,"indicador","SUIZA","mes",11,"año",2007)/GETPIVOTDATA("dato",'[1]evolucion mensual nacionali'!$A$4,"indicador","TOTAL","mes",11,"año",2007)</f>
        <v>6.0201717980889876E-3</v>
      </c>
      <c r="Q47" s="204">
        <f>GETPIVOTDATA("dato",'[1]evolucion mensual nacionali'!$A$4,"indicador","AUSTRIA","mes",11,"año",2007)/GETPIVOTDATA("dato",'[1]evolucion mensual nacionali'!$A$4,"indicador","TOTAL","mes",11,"año",2007)</f>
        <v>1.0405607566837179E-2</v>
      </c>
      <c r="R47" s="204">
        <f>GETPIVOTDATA("dato",'[1]evolucion mensual nacionali'!$A$4,"indicador","RUSIA","mes",11,"año",2007)/GETPIVOTDATA("dato",'[1]evolucion mensual nacionali'!$A$4,"indicador","TOTAL","mes",11,"año",2007)</f>
        <v>2.9576054434900106E-2</v>
      </c>
      <c r="S47" s="204">
        <f>GETPIVOTDATA("dato",'[1]evolucion mensual nacionali'!$A$4,"indicador","PAÍSES DEL ESTE","mes",11,"año",2007)/GETPIVOTDATA("dato",'[1]evolucion mensual nacionali'!$A$4,"indicador","TOTAL","mes",11,"año",2007)</f>
        <v>2.2862175465688639E-2</v>
      </c>
      <c r="T47" s="204">
        <f>GETPIVOTDATA("dato",'[1]evolucion mensual nacionali'!$A$4,"indicador","RESTO DE EUROPA","mes",11,"año",2007)/GETPIVOTDATA("dato",'[1]evolucion mensual nacionali'!$A$4,"indicador","TOTAL","mes",11,"año",2007)</f>
        <v>2.5088070649551202E-2</v>
      </c>
      <c r="U47" s="204">
        <f>GETPIVOTDATA("dato",'[1]evolucion mensual nacionali'!$A$4,"indicador","USA","mes",11,"año",2007)/GETPIVOTDATA("dato",'[1]evolucion mensual nacionali'!$A$4,"indicador","TOTAL","mes",11,"año",2007)</f>
        <v>1.1823183090435285E-3</v>
      </c>
      <c r="V47" s="204">
        <f>GETPIVOTDATA("dato",'[1]evolucion mensual nacionali'!$A$4,"indicador","RESTO DE AMÉRICA","mes",11,"año",2007)/GETPIVOTDATA("dato",'[1]evolucion mensual nacionali'!$A$4,"indicador","TOTAL","mes",11,"año",2007)</f>
        <v>8.867387317826465E-4</v>
      </c>
      <c r="W47" s="204">
        <f>GETPIVOTDATA("dato",'[1]evolucion mensual nacionali'!$A$4,"indicador","RESTO DEL MUNDO","mes",11,"año",2007)/GETPIVOTDATA("dato",'[1]evolucion mensual nacionali'!$A$4,"indicador","TOTAL","mes",11,"año",2007)</f>
        <v>3.3961490203648298E-3</v>
      </c>
      <c r="X47" s="204">
        <f>(GETPIVOTDATA("dato",'[1]evolucion mensual nacionali'!$A$4,"indicador","TOTAL","mes",11,"año",2007)-GETPIVOTDATA("dato",'[1]evolucion mensual nacionali'!$A$4,"indicador","España","mes",11,"año",2007))/GETPIVOTDATA("dato",'[1]evolucion mensual nacionali'!$A$4,"indicador","TOTAL","mes",11,"año",2007)</f>
        <v>0.90303783418588934</v>
      </c>
      <c r="Y47" s="206">
        <f>GETPIVOTDATA("dato",'[1]evolucion mensual nacionali'!$A$4,"indicador","TOTAL","mes",11,"año",2007)/GETPIVOTDATA("dato",'[1]evolucion mensual nacionali'!$A$4,"indicador","TOTAL","mes",11,"año",2007)</f>
        <v>1</v>
      </c>
    </row>
    <row r="48" spans="2:25" hidden="1" outlineLevel="1">
      <c r="B48" s="51" t="s">
        <v>39</v>
      </c>
      <c r="C48" s="204">
        <f>GETPIVOTDATA("dato",'[1]evolucion mensual nacionali'!$A$4,"indicador","España","mes",10,"año",2007)/GETPIVOTDATA("dato",'[1]evolucion mensual nacionali'!$A$4,"indicador","TOTAL","mes",10,"año",2007)</f>
        <v>0.17564253396313662</v>
      </c>
      <c r="D48" s="204">
        <f>GETPIVOTDATA("dato",'[1]evolucion mensual nacionali'!$A$4,"indicador","HOLANDA","mes",10,"año",2007)/GETPIVOTDATA("dato",'[1]evolucion mensual nacionali'!$A$4,"indicador","TOTAL","mes",10,"año",2007)</f>
        <v>4.5327105538873966E-2</v>
      </c>
      <c r="E48" s="204">
        <f>GETPIVOTDATA("dato",'[1]evolucion mensual nacionali'!$A$4,"indicador","BÉLGICA","mes",10,"año",2007)/GETPIVOTDATA("dato",'[1]evolucion mensual nacionali'!$A$4,"indicador","TOTAL","mes",10,"año",2007)</f>
        <v>3.2022804029336188E-2</v>
      </c>
      <c r="F48" s="204">
        <f>GETPIVOTDATA("dato",'[1]evolucion mensual nacionali'!$A$4,"indicador","ALEMANIA","mes",10,"año",2007)/GETPIVOTDATA("dato",'[1]evolucion mensual nacionali'!$A$4,"indicador","TOTAL","mes",10,"año",2007)</f>
        <v>0.13191334937107471</v>
      </c>
      <c r="G48" s="204">
        <f>GETPIVOTDATA("dato",'[1]evolucion mensual nacionali'!$A$4,"indicador","FRANCIA","mes",10,"año",2007)/GETPIVOTDATA("dato",'[1]evolucion mensual nacionali'!$A$4,"indicador","TOTAL","mes",10,"año",2007)</f>
        <v>1.8121477111099404E-2</v>
      </c>
      <c r="H48" s="204">
        <f>GETPIVOTDATA("dato",'[1]evolucion mensual nacionali'!$A$4,"indicador","REINO UNIDO","mes",10,"año",2007)/GETPIVOTDATA("dato",'[1]evolucion mensual nacionali'!$A$4,"indicador","TOTAL","mes",10,"año",2007)</f>
        <v>0.3876450859540993</v>
      </c>
      <c r="I48" s="204">
        <f>GETPIVOTDATA("dato",'[1]evolucion mensual nacionali'!$A$4,"indicador","IRLANDA","mes",10,"año",2007)/GETPIVOTDATA("dato",'[1]evolucion mensual nacionali'!$A$4,"indicador","TOTAL","mes",10,"año",2007)</f>
        <v>9.8040937212827851E-3</v>
      </c>
      <c r="J48" s="204">
        <f>GETPIVOTDATA("dato",'[1]evolucion mensual nacionali'!$A$4,"indicador","ITALIA","mes",10,"año",2007)/GETPIVOTDATA("dato",'[1]evolucion mensual nacionali'!$A$4,"indicador","TOTAL","mes",10,"año",2007)</f>
        <v>1.6160658366842849E-2</v>
      </c>
      <c r="K48" s="204">
        <f>(GETPIVOTDATA("dato",'[1]evolucion mensual nacionali'!$A$4,"indicador","SUECIA","mes",10,"año",2007)+GETPIVOTDATA("dato",'[1]evolucion mensual nacionali'!$A$4,"indicador","NORUEGA","mes",10,"año",2007)+GETPIVOTDATA("dato",'[1]evolucion mensual nacionali'!$A$4,"indicador","DINAMARCA","mes",10,"año",2007)+GETPIVOTDATA("dato",'[1]evolucion mensual nacionali'!$A$4,"indicador","FINLANDIA","mes",10,"año",2007))/GETPIVOTDATA("dato",'[1]evolucion mensual nacionali'!$A$4,"indicador","TOTAL","mes",10,"año",2007)</f>
        <v>8.4877112270042784E-2</v>
      </c>
      <c r="L48" s="204">
        <f>GETPIVOTDATA("dato",'[1]evolucion mensual nacionali'!$A$4,"indicador","SUECIA","mes",10,"año",2007)/GETPIVOTDATA("dato",'[1]evolucion mensual nacionali'!$A$4,"indicador","TOTAL","mes",10,"año",2007)</f>
        <v>3.0512680936744571E-2</v>
      </c>
      <c r="M48" s="204">
        <f>GETPIVOTDATA("dato",'[1]evolucion mensual nacionali'!$A$4,"indicador","NORUEGA","mes",10,"año",2007)/GETPIVOTDATA("dato",'[1]evolucion mensual nacionali'!$A$4,"indicador","TOTAL","mes",10,"año",2007)</f>
        <v>1.6283575362751469E-2</v>
      </c>
      <c r="N48" s="204">
        <f>GETPIVOTDATA("dato",'[1]evolucion mensual nacionali'!$A$4,"indicador","DINAMARCA","mes",10,"año",2007)/GETPIVOTDATA("dato",'[1]evolucion mensual nacionali'!$A$4,"indicador","TOTAL","mes",10,"año",2007)</f>
        <v>2.0439340462519096E-2</v>
      </c>
      <c r="O48" s="204">
        <f>GETPIVOTDATA("dato",'[1]evolucion mensual nacionali'!$A$4,"indicador","FINLANDIA","mes",10,"año",2007)/GETPIVOTDATA("dato",'[1]evolucion mensual nacionali'!$A$4,"indicador","TOTAL","mes",10,"año",2007)</f>
        <v>1.7641515508027651E-2</v>
      </c>
      <c r="P48" s="204">
        <f>GETPIVOTDATA("dato",'[1]evolucion mensual nacionali'!$A$4,"indicador","SUIZA","mes",10,"año",2007)/GETPIVOTDATA("dato",'[1]evolucion mensual nacionali'!$A$4,"indicador","TOTAL","mes",10,"año",2007)</f>
        <v>8.3407961509420706E-3</v>
      </c>
      <c r="Q48" s="204">
        <f>GETPIVOTDATA("dato",'[1]evolucion mensual nacionali'!$A$4,"indicador","AUSTRIA","mes",10,"año",2007)/GETPIVOTDATA("dato",'[1]evolucion mensual nacionali'!$A$4,"indicador","TOTAL","mes",10,"año",2007)</f>
        <v>7.0940666210117824E-3</v>
      </c>
      <c r="R48" s="204">
        <f>GETPIVOTDATA("dato",'[1]evolucion mensual nacionali'!$A$4,"indicador","RUSIA","mes",10,"año",2007)/GETPIVOTDATA("dato",'[1]evolucion mensual nacionali'!$A$4,"indicador","TOTAL","mes",10,"año",2007)</f>
        <v>2.8920613180213876E-2</v>
      </c>
      <c r="S48" s="204">
        <f>GETPIVOTDATA("dato",'[1]evolucion mensual nacionali'!$A$4,"indicador","PAÍSES DEL ESTE","mes",10,"año",2007)/GETPIVOTDATA("dato",'[1]evolucion mensual nacionali'!$A$4,"indicador","TOTAL","mes",10,"año",2007)</f>
        <v>2.2645993198592892E-2</v>
      </c>
      <c r="T48" s="204">
        <f>GETPIVOTDATA("dato",'[1]evolucion mensual nacionali'!$A$4,"indicador","RESTO DE EUROPA","mes",10,"año",2007)/GETPIVOTDATA("dato",'[1]evolucion mensual nacionali'!$A$4,"indicador","TOTAL","mes",10,"año",2007)</f>
        <v>2.4214648193998139E-2</v>
      </c>
      <c r="U48" s="204">
        <f>GETPIVOTDATA("dato",'[1]evolucion mensual nacionali'!$A$4,"indicador","USA","mes",10,"año",2007)/GETPIVOTDATA("dato",'[1]evolucion mensual nacionali'!$A$4,"indicador","TOTAL","mes",10,"año",2007)</f>
        <v>1.2467295299302885E-3</v>
      </c>
      <c r="V48" s="204">
        <f>GETPIVOTDATA("dato",'[1]evolucion mensual nacionali'!$A$4,"indicador","RESTO DE AMÉRICA","mes",10,"año",2007)/GETPIVOTDATA("dato",'[1]evolucion mensual nacionali'!$A$4,"indicador","TOTAL","mes",10,"año",2007)</f>
        <v>1.0243082992384999E-3</v>
      </c>
      <c r="W48" s="204">
        <f>GETPIVOTDATA("dato",'[1]evolucion mensual nacionali'!$A$4,"indicador","RESTO DEL MUNDO","mes",10,"año",2007)/GETPIVOTDATA("dato",'[1]evolucion mensual nacionali'!$A$4,"indicador","TOTAL","mes",10,"año",2007)</f>
        <v>4.9986245002838796E-3</v>
      </c>
      <c r="X48" s="204">
        <f>(GETPIVOTDATA("dato",'[1]evolucion mensual nacionali'!$A$4,"indicador","TOTAL","mes",10,"año",2007)-GETPIVOTDATA("dato",'[1]evolucion mensual nacionali'!$A$4,"indicador","España","mes",10,"año",2007))/GETPIVOTDATA("dato",'[1]evolucion mensual nacionali'!$A$4,"indicador","TOTAL","mes",10,"año",2007)</f>
        <v>0.82435746603686344</v>
      </c>
      <c r="Y48" s="206">
        <f>GETPIVOTDATA("dato",'[1]evolucion mensual nacionali'!$A$4,"indicador","TOTAL","mes",10,"año",2007)/GETPIVOTDATA("dato",'[1]evolucion mensual nacionali'!$A$4,"indicador","TOTAL","mes",10,"año",2007)</f>
        <v>1</v>
      </c>
    </row>
    <row r="49" spans="2:25" hidden="1" outlineLevel="1">
      <c r="B49" s="51" t="s">
        <v>40</v>
      </c>
      <c r="C49" s="204">
        <f>GETPIVOTDATA("dato",'[1]evolucion mensual nacionali'!$A$4,"indicador","España","mes",9,"año",2007)/GETPIVOTDATA("dato",'[1]evolucion mensual nacionali'!$A$4,"indicador","TOTAL","mes",9,"año",2007)</f>
        <v>0.26877989506437316</v>
      </c>
      <c r="D49" s="204">
        <f>GETPIVOTDATA("dato",'[1]evolucion mensual nacionali'!$A$4,"indicador","HOLANDA","mes",9,"año",2007)/GETPIVOTDATA("dato",'[1]evolucion mensual nacionali'!$A$4,"indicador","TOTAL","mes",9,"año",2007)</f>
        <v>3.1859973450022123E-2</v>
      </c>
      <c r="E49" s="204">
        <f>GETPIVOTDATA("dato",'[1]evolucion mensual nacionali'!$A$4,"indicador","BÉLGICA","mes",9,"año",2007)/GETPIVOTDATA("dato",'[1]evolucion mensual nacionali'!$A$4,"indicador","TOTAL","mes",9,"año",2007)</f>
        <v>2.6823906218173391E-2</v>
      </c>
      <c r="F49" s="204">
        <f>GETPIVOTDATA("dato",'[1]evolucion mensual nacionali'!$A$4,"indicador","ALEMANIA","mes",9,"año",2007)/GETPIVOTDATA("dato",'[1]evolucion mensual nacionali'!$A$4,"indicador","TOTAL","mes",9,"año",2007)</f>
        <v>0.14876416174415094</v>
      </c>
      <c r="G49" s="204">
        <f>GETPIVOTDATA("dato",'[1]evolucion mensual nacionali'!$A$4,"indicador","FRANCIA","mes",9,"año",2007)/GETPIVOTDATA("dato",'[1]evolucion mensual nacionali'!$A$4,"indicador","TOTAL","mes",9,"año",2007)</f>
        <v>1.8894031874021059E-2</v>
      </c>
      <c r="H49" s="204">
        <f>GETPIVOTDATA("dato",'[1]evolucion mensual nacionali'!$A$4,"indicador","REINO UNIDO","mes",9,"año",2007)/GETPIVOTDATA("dato",'[1]evolucion mensual nacionali'!$A$4,"indicador","TOTAL","mes",9,"año",2007)</f>
        <v>0.33886340809001708</v>
      </c>
      <c r="I49" s="204">
        <f>GETPIVOTDATA("dato",'[1]evolucion mensual nacionali'!$A$4,"indicador","IRLANDA","mes",9,"año",2007)/GETPIVOTDATA("dato",'[1]evolucion mensual nacionali'!$A$4,"indicador","TOTAL","mes",9,"año",2007)</f>
        <v>1.1554157038202468E-2</v>
      </c>
      <c r="J49" s="204">
        <f>GETPIVOTDATA("dato",'[1]evolucion mensual nacionali'!$A$4,"indicador","ITALIA","mes",9,"año",2007)/GETPIVOTDATA("dato",'[1]evolucion mensual nacionali'!$A$4,"indicador","TOTAL","mes",9,"año",2007)</f>
        <v>2.580545468593062E-2</v>
      </c>
      <c r="K49" s="204">
        <f>(GETPIVOTDATA("dato",'[1]evolucion mensual nacionali'!$A$4,"indicador","SUECIA","mes",9,"año",2007)+GETPIVOTDATA("dato",'[1]evolucion mensual nacionali'!$A$4,"indicador","NORUEGA","mes",9,"año",2007)+GETPIVOTDATA("dato",'[1]evolucion mensual nacionali'!$A$4,"indicador","DINAMARCA","mes",9,"año",2007)+GETPIVOTDATA("dato",'[1]evolucion mensual nacionali'!$A$4,"indicador","FINLANDIA","mes",9,"año",2007))/GETPIVOTDATA("dato",'[1]evolucion mensual nacionali'!$A$4,"indicador","TOTAL","mes",9,"año",2007)</f>
        <v>1.2706060840187395E-2</v>
      </c>
      <c r="L49" s="204">
        <f>GETPIVOTDATA("dato",'[1]evolucion mensual nacionali'!$A$4,"indicador","SUECIA","mes",9,"año",2007)/GETPIVOTDATA("dato",'[1]evolucion mensual nacionali'!$A$4,"indicador","TOTAL","mes",9,"año",2007)</f>
        <v>1.9034507947433854E-3</v>
      </c>
      <c r="M49" s="204">
        <f>GETPIVOTDATA("dato",'[1]evolucion mensual nacionali'!$A$4,"indicador","NORUEGA","mes",9,"año",2007)/GETPIVOTDATA("dato",'[1]evolucion mensual nacionali'!$A$4,"indicador","TOTAL","mes",9,"año",2007)</f>
        <v>2.4864264994064887E-3</v>
      </c>
      <c r="N49" s="204">
        <f>GETPIVOTDATA("dato",'[1]evolucion mensual nacionali'!$A$4,"indicador","DINAMARCA","mes",9,"año",2007)/GETPIVOTDATA("dato",'[1]evolucion mensual nacionali'!$A$4,"indicador","TOTAL","mes",9,"año",2007)</f>
        <v>8.0703504175651287E-3</v>
      </c>
      <c r="O49" s="204">
        <f>GETPIVOTDATA("dato",'[1]evolucion mensual nacionali'!$A$4,"indicador","FINLANDIA","mes",9,"año",2007)/GETPIVOTDATA("dato",'[1]evolucion mensual nacionali'!$A$4,"indicador","TOTAL","mes",9,"año",2007)</f>
        <v>2.4583312847239292E-4</v>
      </c>
      <c r="P49" s="204">
        <f>GETPIVOTDATA("dato",'[1]evolucion mensual nacionali'!$A$4,"indicador","SUIZA","mes",9,"año",2007)/GETPIVOTDATA("dato",'[1]evolucion mensual nacionali'!$A$4,"indicador","TOTAL","mes",9,"año",2007)</f>
        <v>6.5953516467307707E-3</v>
      </c>
      <c r="Q49" s="204">
        <f>GETPIVOTDATA("dato",'[1]evolucion mensual nacionali'!$A$4,"indicador","AUSTRIA","mes",9,"año",2007)/GETPIVOTDATA("dato",'[1]evolucion mensual nacionali'!$A$4,"indicador","TOTAL","mes",9,"año",2007)</f>
        <v>7.6629698046680201E-3</v>
      </c>
      <c r="R49" s="204">
        <f>GETPIVOTDATA("dato",'[1]evolucion mensual nacionali'!$A$4,"indicador","RUSIA","mes",9,"año",2007)/GETPIVOTDATA("dato",'[1]evolucion mensual nacionali'!$A$4,"indicador","TOTAL","mes",9,"año",2007)</f>
        <v>3.7668659085641237E-2</v>
      </c>
      <c r="S49" s="204">
        <f>GETPIVOTDATA("dato",'[1]evolucion mensual nacionali'!$A$4,"indicador","PAÍSES DEL ESTE","mes",9,"año",2007)/GETPIVOTDATA("dato",'[1]evolucion mensual nacionali'!$A$4,"indicador","TOTAL","mes",9,"año",2007)</f>
        <v>2.7561405603590567E-2</v>
      </c>
      <c r="T49" s="204">
        <f>GETPIVOTDATA("dato",'[1]evolucion mensual nacionali'!$A$4,"indicador","RESTO DE EUROPA","mes",9,"año",2007)/GETPIVOTDATA("dato",'[1]evolucion mensual nacionali'!$A$4,"indicador","TOTAL","mes",9,"año",2007)</f>
        <v>2.8291881185337108E-2</v>
      </c>
      <c r="U49" s="204">
        <f>GETPIVOTDATA("dato",'[1]evolucion mensual nacionali'!$A$4,"indicador","USA","mes",9,"año",2007)/GETPIVOTDATA("dato",'[1]evolucion mensual nacionali'!$A$4,"indicador","TOTAL","mes",9,"año",2007)</f>
        <v>1.2923798753977228E-3</v>
      </c>
      <c r="V49" s="204">
        <f>GETPIVOTDATA("dato",'[1]evolucion mensual nacionali'!$A$4,"indicador","RESTO DE AMÉRICA","mes",9,"año",2007)/GETPIVOTDATA("dato",'[1]evolucion mensual nacionali'!$A$4,"indicador","TOTAL","mes",9,"año",2007)</f>
        <v>1.7699985250012292E-3</v>
      </c>
      <c r="W49" s="204">
        <f>GETPIVOTDATA("dato",'[1]evolucion mensual nacionali'!$A$4,"indicador","RESTO DEL MUNDO","mes",9,"año",2007)/GETPIVOTDATA("dato",'[1]evolucion mensual nacionali'!$A$4,"indicador","TOTAL","mes",9,"año",2007)</f>
        <v>5.1063052685551332E-3</v>
      </c>
      <c r="X49" s="204">
        <f>(GETPIVOTDATA("dato",'[1]evolucion mensual nacionali'!$A$4,"indicador","TOTAL","mes",9,"año",2007)-GETPIVOTDATA("dato",'[1]evolucion mensual nacionali'!$A$4,"indicador","España","mes",9,"año",2007))/GETPIVOTDATA("dato",'[1]evolucion mensual nacionali'!$A$4,"indicador","TOTAL","mes",9,"año",2007)</f>
        <v>0.73122010493562684</v>
      </c>
      <c r="Y49" s="206">
        <f>GETPIVOTDATA("dato",'[1]evolucion mensual nacionali'!$A$4,"indicador","TOTAL","mes",9,"año",2007)/GETPIVOTDATA("dato",'[1]evolucion mensual nacionali'!$A$4,"indicador","TOTAL","mes",9,"año",2007)</f>
        <v>1</v>
      </c>
    </row>
    <row r="50" spans="2:25" hidden="1" outlineLevel="1">
      <c r="B50" s="51" t="s">
        <v>41</v>
      </c>
      <c r="C50" s="204">
        <f>GETPIVOTDATA("dato",'[1]evolucion mensual nacionali'!$A$4,"indicador","España","mes",8,"año",2007)/GETPIVOTDATA("dato",'[1]evolucion mensual nacionali'!$A$4,"indicador","TOTAL","mes",8,"año",2007)</f>
        <v>0.3294405360855841</v>
      </c>
      <c r="D50" s="204">
        <f>GETPIVOTDATA("dato",'[1]evolucion mensual nacionali'!$A$4,"indicador","HOLANDA","mes",8,"año",2007)/GETPIVOTDATA("dato",'[1]evolucion mensual nacionali'!$A$4,"indicador","TOTAL","mes",8,"año",2007)</f>
        <v>2.8452613094019672E-2</v>
      </c>
      <c r="E50" s="204">
        <f>GETPIVOTDATA("dato",'[1]evolucion mensual nacionali'!$A$4,"indicador","BÉLGICA","mes",8,"año",2007)/GETPIVOTDATA("dato",'[1]evolucion mensual nacionali'!$A$4,"indicador","TOTAL","mes",8,"año",2007)</f>
        <v>4.044343413667166E-2</v>
      </c>
      <c r="F50" s="204">
        <f>GETPIVOTDATA("dato",'[1]evolucion mensual nacionali'!$A$4,"indicador","ALEMANIA","mes",8,"año",2007)/GETPIVOTDATA("dato",'[1]evolucion mensual nacionali'!$A$4,"indicador","TOTAL","mes",8,"año",2007)</f>
        <v>0.11545878626603893</v>
      </c>
      <c r="G50" s="204">
        <f>GETPIVOTDATA("dato",'[1]evolucion mensual nacionali'!$A$4,"indicador","FRANCIA","mes",8,"año",2007)/GETPIVOTDATA("dato",'[1]evolucion mensual nacionali'!$A$4,"indicador","TOTAL","mes",8,"año",2007)</f>
        <v>2.4687301364992836E-2</v>
      </c>
      <c r="H50" s="204">
        <f>GETPIVOTDATA("dato",'[1]evolucion mensual nacionali'!$A$4,"indicador","REINO UNIDO","mes",8,"año",2007)/GETPIVOTDATA("dato",'[1]evolucion mensual nacionali'!$A$4,"indicador","TOTAL","mes",8,"año",2007)</f>
        <v>0.30067549369216018</v>
      </c>
      <c r="I50" s="204">
        <f>GETPIVOTDATA("dato",'[1]evolucion mensual nacionali'!$A$4,"indicador","IRLANDA","mes",8,"año",2007)/GETPIVOTDATA("dato",'[1]evolucion mensual nacionali'!$A$4,"indicador","TOTAL","mes",8,"año",2007)</f>
        <v>7.7622520765774985E-3</v>
      </c>
      <c r="J50" s="204">
        <f>GETPIVOTDATA("dato",'[1]evolucion mensual nacionali'!$A$4,"indicador","ITALIA","mes",8,"año",2007)/GETPIVOTDATA("dato",'[1]evolucion mensual nacionali'!$A$4,"indicador","TOTAL","mes",8,"año",2007)</f>
        <v>5.0322664052315745E-2</v>
      </c>
      <c r="K50" s="204">
        <f>(GETPIVOTDATA("dato",'[1]evolucion mensual nacionali'!$A$4,"indicador","SUECIA","mes",8,"año",2007)+GETPIVOTDATA("dato",'[1]evolucion mensual nacionali'!$A$4,"indicador","NORUEGA","mes",8,"año",2007)+GETPIVOTDATA("dato",'[1]evolucion mensual nacionali'!$A$4,"indicador","DINAMARCA","mes",8,"año",2007)+GETPIVOTDATA("dato",'[1]evolucion mensual nacionali'!$A$4,"indicador","FINLANDIA","mes",8,"año",2007))/GETPIVOTDATA("dato",'[1]evolucion mensual nacionali'!$A$4,"indicador","TOTAL","mes",8,"año",2007)</f>
        <v>5.0419624869372228E-3</v>
      </c>
      <c r="L50" s="204">
        <f>GETPIVOTDATA("dato",'[1]evolucion mensual nacionali'!$A$4,"indicador","SUECIA","mes",8,"año",2007)/GETPIVOTDATA("dato",'[1]evolucion mensual nacionali'!$A$4,"indicador","TOTAL","mes",8,"año",2007)</f>
        <v>1.481345816140744E-3</v>
      </c>
      <c r="M50" s="204">
        <f>GETPIVOTDATA("dato",'[1]evolucion mensual nacionali'!$A$4,"indicador","NORUEGA","mes",8,"año",2007)/GETPIVOTDATA("dato",'[1]evolucion mensual nacionali'!$A$4,"indicador","TOTAL","mes",8,"año",2007)</f>
        <v>1.3251311664386292E-3</v>
      </c>
      <c r="N50" s="204">
        <f>GETPIVOTDATA("dato",'[1]evolucion mensual nacionali'!$A$4,"indicador","DINAMARCA","mes",8,"año",2007)/GETPIVOTDATA("dato",'[1]evolucion mensual nacionali'!$A$4,"indicador","TOTAL","mes",8,"año",2007)</f>
        <v>2.0684974305383479E-3</v>
      </c>
      <c r="O50" s="204">
        <f>GETPIVOTDATA("dato",'[1]evolucion mensual nacionali'!$A$4,"indicador","FINLANDIA","mes",8,"año",2007)/GETPIVOTDATA("dato",'[1]evolucion mensual nacionali'!$A$4,"indicador","TOTAL","mes",8,"año",2007)</f>
        <v>1.6698807381950205E-4</v>
      </c>
      <c r="P50" s="204">
        <f>GETPIVOTDATA("dato",'[1]evolucion mensual nacionali'!$A$4,"indicador","SUIZA","mes",8,"año",2007)/GETPIVOTDATA("dato",'[1]evolucion mensual nacionali'!$A$4,"indicador","TOTAL","mes",8,"año",2007)</f>
        <v>4.0400340440202107E-3</v>
      </c>
      <c r="Q50" s="204">
        <f>GETPIVOTDATA("dato",'[1]evolucion mensual nacionali'!$A$4,"indicador","AUSTRIA","mes",8,"año",2007)/GETPIVOTDATA("dato",'[1]evolucion mensual nacionali'!$A$4,"indicador","TOTAL","mes",8,"año",2007)</f>
        <v>6.5179215910192738E-3</v>
      </c>
      <c r="R50" s="204">
        <f>GETPIVOTDATA("dato",'[1]evolucion mensual nacionali'!$A$4,"indicador","RUSIA","mes",8,"año",2007)/GETPIVOTDATA("dato",'[1]evolucion mensual nacionali'!$A$4,"indicador","TOTAL","mes",8,"año",2007)</f>
        <v>2.7348337121987483E-2</v>
      </c>
      <c r="S50" s="204">
        <f>GETPIVOTDATA("dato",'[1]evolucion mensual nacionali'!$A$4,"indicador","PAÍSES DEL ESTE","mes",8,"año",2007)/GETPIVOTDATA("dato",'[1]evolucion mensual nacionali'!$A$4,"indicador","TOTAL","mes",8,"año",2007)</f>
        <v>2.0900442787731226E-2</v>
      </c>
      <c r="T50" s="204">
        <f>GETPIVOTDATA("dato",'[1]evolucion mensual nacionali'!$A$4,"indicador","RESTO DE EUROPA","mes",8,"año",2007)/GETPIVOTDATA("dato",'[1]evolucion mensual nacionali'!$A$4,"indicador","TOTAL","mes",8,"año",2007)</f>
        <v>3.1496105407181563E-2</v>
      </c>
      <c r="U50" s="204">
        <f>GETPIVOTDATA("dato",'[1]evolucion mensual nacionali'!$A$4,"indicador","USA","mes",8,"año",2007)/GETPIVOTDATA("dato",'[1]evolucion mensual nacionali'!$A$4,"indicador","TOTAL","mes",8,"año",2007)</f>
        <v>1.4274786955538079E-3</v>
      </c>
      <c r="V50" s="204">
        <f>GETPIVOTDATA("dato",'[1]evolucion mensual nacionali'!$A$4,"indicador","RESTO DE AMÉRICA","mes",8,"año",2007)/GETPIVOTDATA("dato",'[1]evolucion mensual nacionali'!$A$4,"indicador","TOTAL","mes",8,"año",2007)</f>
        <v>1.3251311664386292E-3</v>
      </c>
      <c r="W50" s="204">
        <f>GETPIVOTDATA("dato",'[1]evolucion mensual nacionali'!$A$4,"indicador","RESTO DEL MUNDO","mes",8,"año",2007)/GETPIVOTDATA("dato",'[1]evolucion mensual nacionali'!$A$4,"indicador","TOTAL","mes",8,"año",2007)</f>
        <v>4.6595059307699763E-3</v>
      </c>
      <c r="X50" s="204">
        <f>(GETPIVOTDATA("dato",'[1]evolucion mensual nacionali'!$A$4,"indicador","TOTAL","mes",8,"año",2007)-GETPIVOTDATA("dato",'[1]evolucion mensual nacionali'!$A$4,"indicador","España","mes",8,"año",2007))/GETPIVOTDATA("dato",'[1]evolucion mensual nacionali'!$A$4,"indicador","TOTAL","mes",8,"año",2007)</f>
        <v>0.6705594639144159</v>
      </c>
      <c r="Y50" s="206">
        <f>GETPIVOTDATA("dato",'[1]evolucion mensual nacionali'!$A$4,"indicador","TOTAL","mes",8,"año",2007)/GETPIVOTDATA("dato",'[1]evolucion mensual nacionali'!$A$4,"indicador","TOTAL","mes",8,"año",2007)</f>
        <v>1</v>
      </c>
    </row>
    <row r="51" spans="2:25" hidden="1" outlineLevel="1">
      <c r="B51" s="51" t="s">
        <v>42</v>
      </c>
      <c r="C51" s="204">
        <f>GETPIVOTDATA("dato",'[1]evolucion mensual nacionali'!$A$4,"indicador","España","mes",7,"año",2007)/GETPIVOTDATA("dato",'[1]evolucion mensual nacionali'!$A$4,"indicador","TOTAL","mes",7,"año",2007)</f>
        <v>0.30663240164921191</v>
      </c>
      <c r="D51" s="204">
        <f>GETPIVOTDATA("dato",'[1]evolucion mensual nacionali'!$A$4,"indicador","HOLANDA","mes",7,"año",2007)/GETPIVOTDATA("dato",'[1]evolucion mensual nacionali'!$A$4,"indicador","TOTAL","mes",7,"año",2007)</f>
        <v>5.0480604295186471E-2</v>
      </c>
      <c r="E51" s="204">
        <f>GETPIVOTDATA("dato",'[1]evolucion mensual nacionali'!$A$4,"indicador","BÉLGICA","mes",7,"año",2007)/GETPIVOTDATA("dato",'[1]evolucion mensual nacionali'!$A$4,"indicador","TOTAL","mes",7,"año",2007)</f>
        <v>4.0693866603459354E-2</v>
      </c>
      <c r="F51" s="204">
        <f>GETPIVOTDATA("dato",'[1]evolucion mensual nacionali'!$A$4,"indicador","ALEMANIA","mes",7,"año",2007)/GETPIVOTDATA("dato",'[1]evolucion mensual nacionali'!$A$4,"indicador","TOTAL","mes",7,"año",2007)</f>
        <v>0.11932459658555754</v>
      </c>
      <c r="G51" s="204">
        <f>GETPIVOTDATA("dato",'[1]evolucion mensual nacionali'!$A$4,"indicador","FRANCIA","mes",7,"año",2007)/GETPIVOTDATA("dato",'[1]evolucion mensual nacionali'!$A$4,"indicador","TOTAL","mes",7,"año",2007)</f>
        <v>1.9854165757021938E-2</v>
      </c>
      <c r="H51" s="204">
        <f>GETPIVOTDATA("dato",'[1]evolucion mensual nacionali'!$A$4,"indicador","REINO UNIDO","mes",7,"año",2007)/GETPIVOTDATA("dato",'[1]evolucion mensual nacionali'!$A$4,"indicador","TOTAL","mes",7,"año",2007)</f>
        <v>0.30258422270597995</v>
      </c>
      <c r="I51" s="204">
        <f>GETPIVOTDATA("dato",'[1]evolucion mensual nacionali'!$A$4,"indicador","IRLANDA","mes",7,"año",2007)/GETPIVOTDATA("dato",'[1]evolucion mensual nacionali'!$A$4,"indicador","TOTAL","mes",7,"año",2007)</f>
        <v>8.9259538794528408E-3</v>
      </c>
      <c r="J51" s="204">
        <f>GETPIVOTDATA("dato",'[1]evolucion mensual nacionali'!$A$4,"indicador","ITALIA","mes",7,"año",2007)/GETPIVOTDATA("dato",'[1]evolucion mensual nacionali'!$A$4,"indicador","TOTAL","mes",7,"año",2007)</f>
        <v>3.3982247893262804E-2</v>
      </c>
      <c r="K51" s="204">
        <f>(GETPIVOTDATA("dato",'[1]evolucion mensual nacionali'!$A$4,"indicador","SUECIA","mes",7,"año",2007)+GETPIVOTDATA("dato",'[1]evolucion mensual nacionali'!$A$4,"indicador","NORUEGA","mes",7,"año",2007)+GETPIVOTDATA("dato",'[1]evolucion mensual nacionali'!$A$4,"indicador","DINAMARCA","mes",7,"año",2007)+GETPIVOTDATA("dato",'[1]evolucion mensual nacionali'!$A$4,"indicador","FINLANDIA","mes",7,"año",2007))/GETPIVOTDATA("dato",'[1]evolucion mensual nacionali'!$A$4,"indicador","TOTAL","mes",7,"año",2007)</f>
        <v>7.7657670020396833E-3</v>
      </c>
      <c r="L51" s="204">
        <f>GETPIVOTDATA("dato",'[1]evolucion mensual nacionali'!$A$4,"indicador","SUECIA","mes",7,"año",2007)/GETPIVOTDATA("dato",'[1]evolucion mensual nacionali'!$A$4,"indicador","TOTAL","mes",7,"año",2007)</f>
        <v>1.7465178799767962E-3</v>
      </c>
      <c r="M51" s="204">
        <f>GETPIVOTDATA("dato",'[1]evolucion mensual nacionali'!$A$4,"indicador","NORUEGA","mes",7,"año",2007)/GETPIVOTDATA("dato",'[1]evolucion mensual nacionali'!$A$4,"indicador","TOTAL","mes",7,"año",2007)</f>
        <v>2.1457219668286356E-3</v>
      </c>
      <c r="N51" s="204">
        <f>GETPIVOTDATA("dato",'[1]evolucion mensual nacionali'!$A$4,"indicador","DINAMARCA","mes",7,"año",2007)/GETPIVOTDATA("dato",'[1]evolucion mensual nacionali'!$A$4,"indicador","TOTAL","mes",7,"año",2007)</f>
        <v>3.6926378033795121E-3</v>
      </c>
      <c r="O51" s="204">
        <f>GETPIVOTDATA("dato",'[1]evolucion mensual nacionali'!$A$4,"indicador","FINLANDIA","mes",7,"año",2007)/GETPIVOTDATA("dato",'[1]evolucion mensual nacionali'!$A$4,"indicador","TOTAL","mes",7,"año",2007)</f>
        <v>1.8088935185473962E-4</v>
      </c>
      <c r="P51" s="204">
        <f>GETPIVOTDATA("dato",'[1]evolucion mensual nacionali'!$A$4,"indicador","SUIZA","mes",7,"año",2007)/GETPIVOTDATA("dato",'[1]evolucion mensual nacionali'!$A$4,"indicador","TOTAL","mes",7,"año",2007)</f>
        <v>7.2168613826184046E-3</v>
      </c>
      <c r="Q51" s="204">
        <f>GETPIVOTDATA("dato",'[1]evolucion mensual nacionali'!$A$4,"indicador","AUSTRIA","mes",7,"año",2007)/GETPIVOTDATA("dato",'[1]evolucion mensual nacionali'!$A$4,"indicador","TOTAL","mes",7,"año",2007)</f>
        <v>7.7907172574679237E-3</v>
      </c>
      <c r="R51" s="204">
        <f>GETPIVOTDATA("dato",'[1]evolucion mensual nacionali'!$A$4,"indicador","RUSIA","mes",7,"año",2007)/GETPIVOTDATA("dato",'[1]evolucion mensual nacionali'!$A$4,"indicador","TOTAL","mes",7,"año",2007)</f>
        <v>2.8405865805051181E-2</v>
      </c>
      <c r="S51" s="204">
        <f>GETPIVOTDATA("dato",'[1]evolucion mensual nacionali'!$A$4,"indicador","PAÍSES DEL ESTE","mes",7,"año",2007)/GETPIVOTDATA("dato",'[1]evolucion mensual nacionali'!$A$4,"indicador","TOTAL","mes",7,"año",2007)</f>
        <v>2.2929284738552512E-2</v>
      </c>
      <c r="T51" s="204">
        <f>GETPIVOTDATA("dato",'[1]evolucion mensual nacionali'!$A$4,"indicador","RESTO DE EUROPA","mes",7,"año",2007)/GETPIVOTDATA("dato",'[1]evolucion mensual nacionali'!$A$4,"indicador","TOTAL","mes",7,"año",2007)</f>
        <v>3.3470767656983889E-2</v>
      </c>
      <c r="U51" s="204">
        <f>GETPIVOTDATA("dato",'[1]evolucion mensual nacionali'!$A$4,"indicador","USA","mes",7,"año",2007)/GETPIVOTDATA("dato",'[1]evolucion mensual nacionali'!$A$4,"indicador","TOTAL","mes",7,"año",2007)</f>
        <v>1.9773077426880159E-3</v>
      </c>
      <c r="V51" s="204">
        <f>GETPIVOTDATA("dato",'[1]evolucion mensual nacionali'!$A$4,"indicador","RESTO DE AMÉRICA","mes",7,"año",2007)/GETPIVOTDATA("dato",'[1]evolucion mensual nacionali'!$A$4,"indicador","TOTAL","mes",7,"año",2007)</f>
        <v>1.8338437739756361E-3</v>
      </c>
      <c r="W51" s="204">
        <f>GETPIVOTDATA("dato",'[1]evolucion mensual nacionali'!$A$4,"indicador","RESTO DEL MUNDO","mes",7,"año",2007)/GETPIVOTDATA("dato",'[1]evolucion mensual nacionali'!$A$4,"indicador","TOTAL","mes",7,"año",2007)</f>
        <v>6.1315252714899673E-3</v>
      </c>
      <c r="X51" s="204">
        <f>(GETPIVOTDATA("dato",'[1]evolucion mensual nacionali'!$A$4,"indicador","TOTAL","mes",7,"año",2007)-GETPIVOTDATA("dato",'[1]evolucion mensual nacionali'!$A$4,"indicador","España","mes",7,"año",2007))/GETPIVOTDATA("dato",'[1]evolucion mensual nacionali'!$A$4,"indicador","TOTAL","mes",7,"año",2007)</f>
        <v>0.69336759835078809</v>
      </c>
      <c r="Y51" s="206">
        <f>GETPIVOTDATA("dato",'[1]evolucion mensual nacionali'!$A$4,"indicador","TOTAL","mes",7,"año",2007)/GETPIVOTDATA("dato",'[1]evolucion mensual nacionali'!$A$4,"indicador","TOTAL","mes",7,"año",2007)</f>
        <v>1</v>
      </c>
    </row>
    <row r="52" spans="2:25" hidden="1" outlineLevel="1">
      <c r="B52" s="51" t="s">
        <v>43</v>
      </c>
      <c r="C52" s="204">
        <f>GETPIVOTDATA("dato",'[1]evolucion mensual nacionali'!$A$4,"indicador","España","mes",6,"año",2007)/GETPIVOTDATA("dato",'[1]evolucion mensual nacionali'!$A$4,"indicador","TOTAL","mes",6,"año",2007)</f>
        <v>0.2732620098819426</v>
      </c>
      <c r="D52" s="204">
        <f>GETPIVOTDATA("dato",'[1]evolucion mensual nacionali'!$A$4,"indicador","HOLANDA","mes",6,"año",2007)/GETPIVOTDATA("dato",'[1]evolucion mensual nacionali'!$A$4,"indicador","TOTAL","mes",6,"año",2007)</f>
        <v>2.5237706392814137E-2</v>
      </c>
      <c r="E52" s="204">
        <f>GETPIVOTDATA("dato",'[1]evolucion mensual nacionali'!$A$4,"indicador","BÉLGICA","mes",6,"año",2007)/GETPIVOTDATA("dato",'[1]evolucion mensual nacionali'!$A$4,"indicador","TOTAL","mes",6,"año",2007)</f>
        <v>2.7306824630119166E-2</v>
      </c>
      <c r="F52" s="204">
        <f>GETPIVOTDATA("dato",'[1]evolucion mensual nacionali'!$A$4,"indicador","ALEMANIA","mes",6,"año",2007)/GETPIVOTDATA("dato",'[1]evolucion mensual nacionali'!$A$4,"indicador","TOTAL","mes",6,"año",2007)</f>
        <v>0.14353037244128272</v>
      </c>
      <c r="G52" s="204">
        <f>GETPIVOTDATA("dato",'[1]evolucion mensual nacionali'!$A$4,"indicador","FRANCIA","mes",6,"año",2007)/GETPIVOTDATA("dato",'[1]evolucion mensual nacionali'!$A$4,"indicador","TOTAL","mes",6,"año",2007)</f>
        <v>1.5155080065879617E-2</v>
      </c>
      <c r="H52" s="204">
        <f>GETPIVOTDATA("dato",'[1]evolucion mensual nacionali'!$A$4,"indicador","REINO UNIDO","mes",6,"año",2007)/GETPIVOTDATA("dato",'[1]evolucion mensual nacionali'!$A$4,"indicador","TOTAL","mes",6,"año",2007)</f>
        <v>0.36797780022974824</v>
      </c>
      <c r="I52" s="204">
        <f>GETPIVOTDATA("dato",'[1]evolucion mensual nacionali'!$A$4,"indicador","IRLANDA","mes",6,"año",2007)/GETPIVOTDATA("dato",'[1]evolucion mensual nacionali'!$A$4,"indicador","TOTAL","mes",6,"año",2007)</f>
        <v>9.7712205721561737E-3</v>
      </c>
      <c r="J52" s="204">
        <f>GETPIVOTDATA("dato",'[1]evolucion mensual nacionali'!$A$4,"indicador","ITALIA","mes",6,"año",2007)/GETPIVOTDATA("dato",'[1]evolucion mensual nacionali'!$A$4,"indicador","TOTAL","mes",6,"año",2007)</f>
        <v>2.444189168615836E-2</v>
      </c>
      <c r="K52" s="204">
        <f>(GETPIVOTDATA("dato",'[1]evolucion mensual nacionali'!$A$4,"indicador","SUECIA","mes",6,"año",2007)+GETPIVOTDATA("dato",'[1]evolucion mensual nacionali'!$A$4,"indicador","NORUEGA","mes",6,"año",2007)+GETPIVOTDATA("dato",'[1]evolucion mensual nacionali'!$A$4,"indicador","DINAMARCA","mes",6,"año",2007)+GETPIVOTDATA("dato",'[1]evolucion mensual nacionali'!$A$4,"indicador","FINLANDIA","mes",6,"año",2007))/GETPIVOTDATA("dato",'[1]evolucion mensual nacionali'!$A$4,"indicador","TOTAL","mes",6,"año",2007)</f>
        <v>4.0828754515383446E-3</v>
      </c>
      <c r="L52" s="204">
        <f>GETPIVOTDATA("dato",'[1]evolucion mensual nacionali'!$A$4,"indicador","SUECIA","mes",6,"año",2007)/GETPIVOTDATA("dato",'[1]evolucion mensual nacionali'!$A$4,"indicador","TOTAL","mes",6,"año",2007)</f>
        <v>7.819744508878524E-4</v>
      </c>
      <c r="M52" s="204">
        <f>GETPIVOTDATA("dato",'[1]evolucion mensual nacionali'!$A$4,"indicador","NORUEGA","mes",6,"año",2007)/GETPIVOTDATA("dato",'[1]evolucion mensual nacionali'!$A$4,"indicador","TOTAL","mes",6,"año",2007)</f>
        <v>3.6676677785005469E-4</v>
      </c>
      <c r="N52" s="204">
        <f>GETPIVOTDATA("dato",'[1]evolucion mensual nacionali'!$A$4,"indicador","DINAMARCA","mes",6,"año",2007)/GETPIVOTDATA("dato",'[1]evolucion mensual nacionali'!$A$4,"indicador","TOTAL","mes",6,"año",2007)</f>
        <v>2.6780894910937952E-3</v>
      </c>
      <c r="O52" s="204">
        <f>GETPIVOTDATA("dato",'[1]evolucion mensual nacionali'!$A$4,"indicador","FINLANDIA","mes",6,"año",2007)/GETPIVOTDATA("dato",'[1]evolucion mensual nacionali'!$A$4,"indicador","TOTAL","mes",6,"año",2007)</f>
        <v>2.5604473170664192E-4</v>
      </c>
      <c r="P52" s="204">
        <f>GETPIVOTDATA("dato",'[1]evolucion mensual nacionali'!$A$4,"indicador","SUIZA","mes",6,"año",2007)/GETPIVOTDATA("dato",'[1]evolucion mensual nacionali'!$A$4,"indicador","TOTAL","mes",6,"año",2007)</f>
        <v>6.1519936888433701E-3</v>
      </c>
      <c r="Q52" s="204">
        <f>GETPIVOTDATA("dato",'[1]evolucion mensual nacionali'!$A$4,"indicador","AUSTRIA","mes",6,"año",2007)/GETPIVOTDATA("dato",'[1]evolucion mensual nacionali'!$A$4,"indicador","TOTAL","mes",6,"año",2007)</f>
        <v>7.6675016954313316E-3</v>
      </c>
      <c r="R52" s="204">
        <f>GETPIVOTDATA("dato",'[1]evolucion mensual nacionali'!$A$4,"indicador","RUSIA","mes",6,"año",2007)/GETPIVOTDATA("dato",'[1]evolucion mensual nacionali'!$A$4,"indicador","TOTAL","mes",6,"año",2007)</f>
        <v>3.0573124991349839E-2</v>
      </c>
      <c r="S52" s="204">
        <f>GETPIVOTDATA("dato",'[1]evolucion mensual nacionali'!$A$4,"indicador","PAÍSES DEL ESTE","mes",6,"año",2007)/GETPIVOTDATA("dato",'[1]evolucion mensual nacionali'!$A$4,"indicador","TOTAL","mes",6,"año",2007)</f>
        <v>2.4739457185168783E-2</v>
      </c>
      <c r="T52" s="204">
        <f>GETPIVOTDATA("dato",'[1]evolucion mensual nacionali'!$A$4,"indicador","RESTO DE EUROPA","mes",6,"año",2007)/GETPIVOTDATA("dato",'[1]evolucion mensual nacionali'!$A$4,"indicador","TOTAL","mes",6,"año",2007)</f>
        <v>3.0081795911588445E-2</v>
      </c>
      <c r="U52" s="204">
        <f>GETPIVOTDATA("dato",'[1]evolucion mensual nacionali'!$A$4,"indicador","USA","mes",6,"año",2007)/GETPIVOTDATA("dato",'[1]evolucion mensual nacionali'!$A$4,"indicador","TOTAL","mes",6,"año",2007)</f>
        <v>2.3805239920833736E-3</v>
      </c>
      <c r="V52" s="204">
        <f>GETPIVOTDATA("dato",'[1]evolucion mensual nacionali'!$A$4,"indicador","RESTO DE AMÉRICA","mes",6,"año",2007)/GETPIVOTDATA("dato",'[1]evolucion mensual nacionali'!$A$4,"indicador","TOTAL","mes",6,"año",2007)</f>
        <v>1.660830692151191E-3</v>
      </c>
      <c r="W52" s="204">
        <f>GETPIVOTDATA("dato",'[1]evolucion mensual nacionali'!$A$4,"indicador","RESTO DEL MUNDO","mes",6,"año",2007)/GETPIVOTDATA("dato",'[1]evolucion mensual nacionali'!$A$4,"indicador","TOTAL","mes",6,"año",2007)</f>
        <v>5.9789904917442876E-3</v>
      </c>
      <c r="X52" s="204">
        <f>(GETPIVOTDATA("dato",'[1]evolucion mensual nacionali'!$A$4,"indicador","TOTAL","mes",6,"año",2007)-GETPIVOTDATA("dato",'[1]evolucion mensual nacionali'!$A$4,"indicador","España","mes",6,"año",2007))/GETPIVOTDATA("dato",'[1]evolucion mensual nacionali'!$A$4,"indicador","TOTAL","mes",6,"año",2007)</f>
        <v>0.7267379901180574</v>
      </c>
      <c r="Y52" s="206">
        <f>GETPIVOTDATA("dato",'[1]evolucion mensual nacionali'!$A$4,"indicador","TOTAL","mes",6,"año",2007)/GETPIVOTDATA("dato",'[1]evolucion mensual nacionali'!$A$4,"indicador","TOTAL","mes",6,"año",2007)</f>
        <v>1</v>
      </c>
    </row>
    <row r="53" spans="2:25" hidden="1" outlineLevel="1">
      <c r="B53" s="51" t="s">
        <v>44</v>
      </c>
      <c r="C53" s="204">
        <f>GETPIVOTDATA("dato",'[1]evolucion mensual nacionali'!$A$4,"indicador","España","mes",5,"año",2007)/GETPIVOTDATA("dato",'[1]evolucion mensual nacionali'!$A$4,"indicador","TOTAL","mes",5,"año",2007)</f>
        <v>0.22938481675392669</v>
      </c>
      <c r="D53" s="204">
        <f>GETPIVOTDATA("dato",'[1]evolucion mensual nacionali'!$A$4,"indicador","HOLANDA","mes",5,"año",2007)/GETPIVOTDATA("dato",'[1]evolucion mensual nacionali'!$A$4,"indicador","TOTAL","mes",5,"año",2007)</f>
        <v>4.0283135850096442E-2</v>
      </c>
      <c r="E53" s="204">
        <f>GETPIVOTDATA("dato",'[1]evolucion mensual nacionali'!$A$4,"indicador","BÉLGICA","mes",5,"año",2007)/GETPIVOTDATA("dato",'[1]evolucion mensual nacionali'!$A$4,"indicador","TOTAL","mes",5,"año",2007)</f>
        <v>3.0638605676494901E-2</v>
      </c>
      <c r="F53" s="204">
        <f>GETPIVOTDATA("dato",'[1]evolucion mensual nacionali'!$A$4,"indicador","ALEMANIA","mes",5,"año",2007)/GETPIVOTDATA("dato",'[1]evolucion mensual nacionali'!$A$4,"indicador","TOTAL","mes",5,"año",2007)</f>
        <v>0.15476026453568476</v>
      </c>
      <c r="G53" s="204">
        <f>GETPIVOTDATA("dato",'[1]evolucion mensual nacionali'!$A$4,"indicador","FRANCIA","mes",5,"año",2007)/GETPIVOTDATA("dato",'[1]evolucion mensual nacionali'!$A$4,"indicador","TOTAL","mes",5,"año",2007)</f>
        <v>1.668848167539267E-2</v>
      </c>
      <c r="H53" s="204">
        <f>GETPIVOTDATA("dato",'[1]evolucion mensual nacionali'!$A$4,"indicador","REINO UNIDO","mes",5,"año",2007)/GETPIVOTDATA("dato",'[1]evolucion mensual nacionali'!$A$4,"indicador","TOTAL","mes",5,"año",2007)</f>
        <v>0.40788612565445026</v>
      </c>
      <c r="I53" s="204">
        <f>GETPIVOTDATA("dato",'[1]evolucion mensual nacionali'!$A$4,"indicador","IRLANDA","mes",5,"año",2007)/GETPIVOTDATA("dato",'[1]evolucion mensual nacionali'!$A$4,"indicador","TOTAL","mes",5,"año",2007)</f>
        <v>1.1487324331771838E-2</v>
      </c>
      <c r="J53" s="204">
        <f>GETPIVOTDATA("dato",'[1]evolucion mensual nacionali'!$A$4,"indicador","ITALIA","mes",5,"año",2007)/GETPIVOTDATA("dato",'[1]evolucion mensual nacionali'!$A$4,"indicador","TOTAL","mes",5,"año",2007)</f>
        <v>2.2767980159823644E-2</v>
      </c>
      <c r="K53" s="204">
        <f>(GETPIVOTDATA("dato",'[1]evolucion mensual nacionali'!$A$4,"indicador","SUECIA","mes",5,"año",2007)+GETPIVOTDATA("dato",'[1]evolucion mensual nacionali'!$A$4,"indicador","NORUEGA","mes",5,"año",2007)+GETPIVOTDATA("dato",'[1]evolucion mensual nacionali'!$A$4,"indicador","DINAMARCA","mes",5,"año",2007)+GETPIVOTDATA("dato",'[1]evolucion mensual nacionali'!$A$4,"indicador","FINLANDIA","mes",5,"año",2007))/GETPIVOTDATA("dato",'[1]evolucion mensual nacionali'!$A$4,"indicador","TOTAL","mes",5,"año",2007)</f>
        <v>4.1592036373656657E-3</v>
      </c>
      <c r="L53" s="204">
        <f>GETPIVOTDATA("dato",'[1]evolucion mensual nacionali'!$A$4,"indicador","SUECIA","mes",5,"año",2007)/GETPIVOTDATA("dato",'[1]evolucion mensual nacionali'!$A$4,"indicador","TOTAL","mes",5,"año",2007)</f>
        <v>9.6445301736015432E-4</v>
      </c>
      <c r="M53" s="204">
        <f>GETPIVOTDATA("dato",'[1]evolucion mensual nacionali'!$A$4,"indicador","NORUEGA","mes",5,"año",2007)/GETPIVOTDATA("dato",'[1]evolucion mensual nacionali'!$A$4,"indicador","TOTAL","mes",5,"año",2007)</f>
        <v>2.2389087903003583E-4</v>
      </c>
      <c r="N53" s="204">
        <f>GETPIVOTDATA("dato",'[1]evolucion mensual nacionali'!$A$4,"indicador","DINAMARCA","mes",5,"año",2007)/GETPIVOTDATA("dato",'[1]evolucion mensual nacionali'!$A$4,"indicador","TOTAL","mes",5,"año",2007)</f>
        <v>2.6866905483604298E-3</v>
      </c>
      <c r="O53" s="204">
        <f>GETPIVOTDATA("dato",'[1]evolucion mensual nacionali'!$A$4,"indicador","FINLANDIA","mes",5,"año",2007)/GETPIVOTDATA("dato",'[1]evolucion mensual nacionali'!$A$4,"indicador","TOTAL","mes",5,"año",2007)</f>
        <v>2.8416919261504546E-4</v>
      </c>
      <c r="P53" s="204">
        <f>GETPIVOTDATA("dato",'[1]evolucion mensual nacionali'!$A$4,"indicador","SUIZA","mes",5,"año",2007)/GETPIVOTDATA("dato",'[1]evolucion mensual nacionali'!$A$4,"indicador","TOTAL","mes",5,"año",2007)</f>
        <v>6.8631165610360985E-3</v>
      </c>
      <c r="Q53" s="204">
        <f>GETPIVOTDATA("dato",'[1]evolucion mensual nacionali'!$A$4,"indicador","AUSTRIA","mes",5,"año",2007)/GETPIVOTDATA("dato",'[1]evolucion mensual nacionali'!$A$4,"indicador","TOTAL","mes",5,"año",2007)</f>
        <v>6.2603334251860017E-3</v>
      </c>
      <c r="R53" s="204">
        <f>GETPIVOTDATA("dato",'[1]evolucion mensual nacionali'!$A$4,"indicador","RUSIA","mes",5,"año",2007)/GETPIVOTDATA("dato",'[1]evolucion mensual nacionali'!$A$4,"indicador","TOTAL","mes",5,"año",2007)</f>
        <v>2.5695783962524112E-2</v>
      </c>
      <c r="S53" s="204">
        <f>GETPIVOTDATA("dato",'[1]evolucion mensual nacionali'!$A$4,"indicador","PAÍSES DEL ESTE","mes",5,"año",2007)/GETPIVOTDATA("dato",'[1]evolucion mensual nacionali'!$A$4,"indicador","TOTAL","mes",5,"año",2007)</f>
        <v>1.2624001102232019E-2</v>
      </c>
      <c r="T53" s="204">
        <f>GETPIVOTDATA("dato",'[1]evolucion mensual nacionali'!$A$4,"indicador","RESTO DE EUROPA","mes",5,"año",2007)/GETPIVOTDATA("dato",'[1]evolucion mensual nacionali'!$A$4,"indicador","TOTAL","mes",5,"año",2007)</f>
        <v>2.0313791678148251E-2</v>
      </c>
      <c r="U53" s="204">
        <f>GETPIVOTDATA("dato",'[1]evolucion mensual nacionali'!$A$4,"indicador","USA","mes",5,"año",2007)/GETPIVOTDATA("dato",'[1]evolucion mensual nacionali'!$A$4,"indicador","TOTAL","mes",5,"año",2007)</f>
        <v>3.4186414990355469E-3</v>
      </c>
      <c r="V53" s="204">
        <f>GETPIVOTDATA("dato",'[1]evolucion mensual nacionali'!$A$4,"indicador","RESTO DE AMÉRICA","mes",5,"año",2007)/GETPIVOTDATA("dato",'[1]evolucion mensual nacionali'!$A$4,"indicador","TOTAL","mes",5,"año",2007)</f>
        <v>2.462799669330394E-3</v>
      </c>
      <c r="W53" s="204">
        <f>GETPIVOTDATA("dato",'[1]evolucion mensual nacionali'!$A$4,"indicador","RESTO DEL MUNDO","mes",5,"año",2007)/GETPIVOTDATA("dato",'[1]evolucion mensual nacionali'!$A$4,"indicador","TOTAL","mes",5,"año",2007)</f>
        <v>4.3055938275006886E-3</v>
      </c>
      <c r="X53" s="204">
        <f>(GETPIVOTDATA("dato",'[1]evolucion mensual nacionali'!$A$4,"indicador","TOTAL","mes",5,"año",2007)-GETPIVOTDATA("dato",'[1]evolucion mensual nacionali'!$A$4,"indicador","España","mes",5,"año",2007))/GETPIVOTDATA("dato",'[1]evolucion mensual nacionali'!$A$4,"indicador","TOTAL","mes",5,"año",2007)</f>
        <v>0.77061518324607325</v>
      </c>
      <c r="Y53" s="206">
        <f>GETPIVOTDATA("dato",'[1]evolucion mensual nacionali'!$A$4,"indicador","TOTAL","mes",5,"año",2007)/GETPIVOTDATA("dato",'[1]evolucion mensual nacionali'!$A$4,"indicador","TOTAL","mes",5,"año",2007)</f>
        <v>1</v>
      </c>
    </row>
    <row r="54" spans="2:25" hidden="1" outlineLevel="1">
      <c r="B54" s="51" t="s">
        <v>45</v>
      </c>
      <c r="C54" s="204">
        <f>GETPIVOTDATA("dato",'[1]evolucion mensual nacionali'!$A$4,"indicador","España","mes",4,"año",2007)/GETPIVOTDATA("dato",'[1]evolucion mensual nacionali'!$A$4,"indicador","TOTAL","mes",4,"año",2007)</f>
        <v>0.20366977035983377</v>
      </c>
      <c r="D54" s="204">
        <f>GETPIVOTDATA("dato",'[1]evolucion mensual nacionali'!$A$4,"indicador","HOLANDA","mes",4,"año",2007)/GETPIVOTDATA("dato",'[1]evolucion mensual nacionali'!$A$4,"indicador","TOTAL","mes",4,"año",2007)</f>
        <v>3.9343814250486053E-2</v>
      </c>
      <c r="E54" s="204">
        <f>GETPIVOTDATA("dato",'[1]evolucion mensual nacionali'!$A$4,"indicador","BÉLGICA","mes",4,"año",2007)/GETPIVOTDATA("dato",'[1]evolucion mensual nacionali'!$A$4,"indicador","TOTAL","mes",4,"año",2007)</f>
        <v>3.8449354311731715E-2</v>
      </c>
      <c r="F54" s="204">
        <f>GETPIVOTDATA("dato",'[1]evolucion mensual nacionali'!$A$4,"indicador","ALEMANIA","mes",4,"año",2007)/GETPIVOTDATA("dato",'[1]evolucion mensual nacionali'!$A$4,"indicador","TOTAL","mes",4,"año",2007)</f>
        <v>0.15805852501071488</v>
      </c>
      <c r="G54" s="204">
        <f>GETPIVOTDATA("dato",'[1]evolucion mensual nacionali'!$A$4,"indicador","FRANCIA","mes",4,"año",2007)/GETPIVOTDATA("dato",'[1]evolucion mensual nacionali'!$A$4,"indicador","TOTAL","mes",4,"año",2007)</f>
        <v>2.8399103055450306E-2</v>
      </c>
      <c r="H54" s="204">
        <f>GETPIVOTDATA("dato",'[1]evolucion mensual nacionali'!$A$4,"indicador","REINO UNIDO","mes",4,"año",2007)/GETPIVOTDATA("dato",'[1]evolucion mensual nacionali'!$A$4,"indicador","TOTAL","mes",4,"año",2007)</f>
        <v>0.36733109304246819</v>
      </c>
      <c r="I54" s="204">
        <f>GETPIVOTDATA("dato",'[1]evolucion mensual nacionali'!$A$4,"indicador","IRLANDA","mes",4,"año",2007)/GETPIVOTDATA("dato",'[1]evolucion mensual nacionali'!$A$4,"indicador","TOTAL","mes",4,"año",2007)</f>
        <v>8.4290426172891654E-3</v>
      </c>
      <c r="J54" s="204">
        <f>GETPIVOTDATA("dato",'[1]evolucion mensual nacionali'!$A$4,"indicador","ITALIA","mes",4,"año",2007)/GETPIVOTDATA("dato",'[1]evolucion mensual nacionali'!$A$4,"indicador","TOTAL","mes",4,"año",2007)</f>
        <v>2.51442627227609E-2</v>
      </c>
      <c r="K54" s="204">
        <f>(GETPIVOTDATA("dato",'[1]evolucion mensual nacionali'!$A$4,"indicador","SUECIA","mes",4,"año",2007)+GETPIVOTDATA("dato",'[1]evolucion mensual nacionali'!$A$4,"indicador","NORUEGA","mes",4,"año",2007)+GETPIVOTDATA("dato",'[1]evolucion mensual nacionali'!$A$4,"indicador","DINAMARCA","mes",4,"año",2007)+GETPIVOTDATA("dato",'[1]evolucion mensual nacionali'!$A$4,"indicador","FINLANDIA","mes",4,"año",2007))/GETPIVOTDATA("dato",'[1]evolucion mensual nacionali'!$A$4,"indicador","TOTAL","mes",4,"año",2007)</f>
        <v>5.6052822828605325E-2</v>
      </c>
      <c r="L54" s="204">
        <f>GETPIVOTDATA("dato",'[1]evolucion mensual nacionali'!$A$4,"indicador","SUECIA","mes",4,"año",2007)/GETPIVOTDATA("dato",'[1]evolucion mensual nacionali'!$A$4,"indicador","TOTAL","mes",4,"año",2007)</f>
        <v>2.1231000490710659E-2</v>
      </c>
      <c r="M54" s="204">
        <f>GETPIVOTDATA("dato",'[1]evolucion mensual nacionali'!$A$4,"indicador","NORUEGA","mes",4,"año",2007)/GETPIVOTDATA("dato",'[1]evolucion mensual nacionali'!$A$4,"indicador","TOTAL","mes",4,"año",2007)</f>
        <v>9.4601561577976404E-3</v>
      </c>
      <c r="N54" s="204">
        <f>GETPIVOTDATA("dato",'[1]evolucion mensual nacionali'!$A$4,"indicador","DINAMARCA","mes",4,"año",2007)/GETPIVOTDATA("dato",'[1]evolucion mensual nacionali'!$A$4,"indicador","TOTAL","mes",4,"año",2007)</f>
        <v>1.6584778031070061E-2</v>
      </c>
      <c r="O54" s="204">
        <f>GETPIVOTDATA("dato",'[1]evolucion mensual nacionali'!$A$4,"indicador","FINLANDIA","mes",4,"año",2007)/GETPIVOTDATA("dato",'[1]evolucion mensual nacionali'!$A$4,"indicador","TOTAL","mes",4,"año",2007)</f>
        <v>8.7768881490269644E-3</v>
      </c>
      <c r="P54" s="204">
        <f>GETPIVOTDATA("dato",'[1]evolucion mensual nacionali'!$A$4,"indicador","SUIZA","mes",4,"año",2007)/GETPIVOTDATA("dato",'[1]evolucion mensual nacionali'!$A$4,"indicador","TOTAL","mes",4,"año",2007)</f>
        <v>5.4475094881080311E-3</v>
      </c>
      <c r="Q54" s="204">
        <f>GETPIVOTDATA("dato",'[1]evolucion mensual nacionali'!$A$4,"indicador","AUSTRIA","mes",4,"año",2007)/GETPIVOTDATA("dato",'[1]evolucion mensual nacionali'!$A$4,"indicador","TOTAL","mes",4,"año",2007)</f>
        <v>6.7705648141821589E-3</v>
      </c>
      <c r="R54" s="204">
        <f>GETPIVOTDATA("dato",'[1]evolucion mensual nacionali'!$A$4,"indicador","RUSIA","mes",4,"año",2007)/GETPIVOTDATA("dato",'[1]evolucion mensual nacionali'!$A$4,"indicador","TOTAL","mes",4,"año",2007)</f>
        <v>2.1995018355063328E-2</v>
      </c>
      <c r="S54" s="204">
        <f>GETPIVOTDATA("dato",'[1]evolucion mensual nacionali'!$A$4,"indicador","PAÍSES DEL ESTE","mes",4,"año",2007)/GETPIVOTDATA("dato",'[1]evolucion mensual nacionali'!$A$4,"indicador","TOTAL","mes",4,"año",2007)</f>
        <v>1.5976048350528911E-2</v>
      </c>
      <c r="T54" s="204">
        <f>GETPIVOTDATA("dato",'[1]evolucion mensual nacionali'!$A$4,"indicador","RESTO DE EUROPA","mes",4,"año",2007)/GETPIVOTDATA("dato",'[1]evolucion mensual nacionali'!$A$4,"indicador","TOTAL","mes",4,"año",2007)</f>
        <v>1.6392220683143777E-2</v>
      </c>
      <c r="U54" s="204">
        <f>GETPIVOTDATA("dato",'[1]evolucion mensual nacionali'!$A$4,"indicador","USA","mes",4,"año",2007)/GETPIVOTDATA("dato",'[1]evolucion mensual nacionali'!$A$4,"indicador","TOTAL","mes",4,"año",2007)</f>
        <v>2.1367654092464797E-3</v>
      </c>
      <c r="V54" s="204">
        <f>GETPIVOTDATA("dato",'[1]evolucion mensual nacionali'!$A$4,"indicador","RESTO DE AMÉRICA","mes",4,"año",2007)/GETPIVOTDATA("dato",'[1]evolucion mensual nacionali'!$A$4,"indicador","TOTAL","mes",4,"año",2007)</f>
        <v>1.4162282363610389E-3</v>
      </c>
      <c r="W54" s="204">
        <f>GETPIVOTDATA("dato",'[1]evolucion mensual nacionali'!$A$4,"indicador","RESTO DEL MUNDO","mes",4,"año",2007)/GETPIVOTDATA("dato",'[1]evolucion mensual nacionali'!$A$4,"indicador","TOTAL","mes",4,"año",2007)</f>
        <v>4.9878564640259389E-3</v>
      </c>
      <c r="X54" s="204">
        <f>(GETPIVOTDATA("dato",'[1]evolucion mensual nacionali'!$A$4,"indicador","TOTAL","mes",4,"año",2007)-GETPIVOTDATA("dato",'[1]evolucion mensual nacionali'!$A$4,"indicador","España","mes",4,"año",2007))/GETPIVOTDATA("dato",'[1]evolucion mensual nacionali'!$A$4,"indicador","TOTAL","mes",4,"año",2007)</f>
        <v>0.7963302296401662</v>
      </c>
      <c r="Y54" s="206">
        <f>GETPIVOTDATA("dato",'[1]evolucion mensual nacionali'!$A$4,"indicador","TOTAL","mes",4,"año",2007)/GETPIVOTDATA("dato",'[1]evolucion mensual nacionali'!$A$4,"indicador","TOTAL","mes",4,"año",2007)</f>
        <v>1</v>
      </c>
    </row>
    <row r="55" spans="2:25" hidden="1" outlineLevel="1">
      <c r="B55" s="51" t="s">
        <v>46</v>
      </c>
      <c r="C55" s="204">
        <f>GETPIVOTDATA("dato",'[1]evolucion mensual nacionali'!$A$4,"indicador","España","mes",3,"año",2007)/GETPIVOTDATA("dato",'[1]evolucion mensual nacionali'!$A$4,"indicador","TOTAL","mes",3,"año",2007)</f>
        <v>9.8169783941589095E-2</v>
      </c>
      <c r="D55" s="204">
        <f>GETPIVOTDATA("dato",'[1]evolucion mensual nacionali'!$A$4,"indicador","HOLANDA","mes",3,"año",2007)/GETPIVOTDATA("dato",'[1]evolucion mensual nacionali'!$A$4,"indicador","TOTAL","mes",3,"año",2007)</f>
        <v>3.402905632889975E-2</v>
      </c>
      <c r="E55" s="204">
        <f>GETPIVOTDATA("dato",'[1]evolucion mensual nacionali'!$A$4,"indicador","BÉLGICA","mes",3,"año",2007)/GETPIVOTDATA("dato",'[1]evolucion mensual nacionali'!$A$4,"indicador","TOTAL","mes",3,"año",2007)</f>
        <v>3.1230104788616066E-2</v>
      </c>
      <c r="F55" s="204">
        <f>GETPIVOTDATA("dato",'[1]evolucion mensual nacionali'!$A$4,"indicador","ALEMANIA","mes",3,"año",2007)/GETPIVOTDATA("dato",'[1]evolucion mensual nacionali'!$A$4,"indicador","TOTAL","mes",3,"año",2007)</f>
        <v>0.15705100630337651</v>
      </c>
      <c r="G55" s="204">
        <f>GETPIVOTDATA("dato",'[1]evolucion mensual nacionali'!$A$4,"indicador","FRANCIA","mes",3,"año",2007)/GETPIVOTDATA("dato",'[1]evolucion mensual nacionali'!$A$4,"indicador","TOTAL","mes",3,"año",2007)</f>
        <v>2.6957115244535448E-2</v>
      </c>
      <c r="H55" s="204">
        <f>GETPIVOTDATA("dato",'[1]evolucion mensual nacionali'!$A$4,"indicador","REINO UNIDO","mes",3,"año",2007)/GETPIVOTDATA("dato",'[1]evolucion mensual nacionali'!$A$4,"indicador","TOTAL","mes",3,"año",2007)</f>
        <v>0.43326966865690475</v>
      </c>
      <c r="I55" s="204">
        <f>GETPIVOTDATA("dato",'[1]evolucion mensual nacionali'!$A$4,"indicador","IRLANDA","mes",3,"año",2007)/GETPIVOTDATA("dato",'[1]evolucion mensual nacionali'!$A$4,"indicador","TOTAL","mes",3,"año",2007)</f>
        <v>8.8499635792166371E-3</v>
      </c>
      <c r="J55" s="204">
        <f>GETPIVOTDATA("dato",'[1]evolucion mensual nacionali'!$A$4,"indicador","ITALIA","mes",3,"año",2007)/GETPIVOTDATA("dato",'[1]evolucion mensual nacionali'!$A$4,"indicador","TOTAL","mes",3,"año",2007)</f>
        <v>2.5236448314033186E-2</v>
      </c>
      <c r="K55" s="204">
        <f>(GETPIVOTDATA("dato",'[1]evolucion mensual nacionali'!$A$4,"indicador","SUECIA","mes",3,"año",2007)+GETPIVOTDATA("dato",'[1]evolucion mensual nacionali'!$A$4,"indicador","NORUEGA","mes",3,"año",2007)+GETPIVOTDATA("dato",'[1]evolucion mensual nacionali'!$A$4,"indicador","DINAMARCA","mes",3,"año",2007)+GETPIVOTDATA("dato",'[1]evolucion mensual nacionali'!$A$4,"indicador","FINLANDIA","mes",3,"año",2007))/GETPIVOTDATA("dato",'[1]evolucion mensual nacionali'!$A$4,"indicador","TOTAL","mes",3,"año",2007)</f>
        <v>0.11342062850227415</v>
      </c>
      <c r="L55" s="204">
        <f>GETPIVOTDATA("dato",'[1]evolucion mensual nacionali'!$A$4,"indicador","SUECIA","mes",3,"año",2007)/GETPIVOTDATA("dato",'[1]evolucion mensual nacionali'!$A$4,"indicador","TOTAL","mes",3,"año",2007)</f>
        <v>3.5973409960367304E-2</v>
      </c>
      <c r="M55" s="204">
        <f>GETPIVOTDATA("dato",'[1]evolucion mensual nacionali'!$A$4,"indicador","NORUEGA","mes",3,"año",2007)/GETPIVOTDATA("dato",'[1]evolucion mensual nacionali'!$A$4,"indicador","TOTAL","mes",3,"año",2007)</f>
        <v>2.0992136552127606E-2</v>
      </c>
      <c r="N55" s="204">
        <f>GETPIVOTDATA("dato",'[1]evolucion mensual nacionali'!$A$4,"indicador","DINAMARCA","mes",3,"año",2007)/GETPIVOTDATA("dato",'[1]evolucion mensual nacionali'!$A$4,"indicador","TOTAL","mes",3,"año",2007)</f>
        <v>3.5331027639646462E-2</v>
      </c>
      <c r="O55" s="204">
        <f>GETPIVOTDATA("dato",'[1]evolucion mensual nacionali'!$A$4,"indicador","FINLANDIA","mes",3,"año",2007)/GETPIVOTDATA("dato",'[1]evolucion mensual nacionali'!$A$4,"indicador","TOTAL","mes",3,"año",2007)</f>
        <v>2.1124054350132777E-2</v>
      </c>
      <c r="P55" s="204">
        <f>GETPIVOTDATA("dato",'[1]evolucion mensual nacionali'!$A$4,"indicador","SUIZA","mes",3,"año",2007)/GETPIVOTDATA("dato",'[1]evolucion mensual nacionali'!$A$4,"indicador","TOTAL","mes",3,"año",2007)</f>
        <v>4.5482962529609814E-3</v>
      </c>
      <c r="Q55" s="204">
        <f>GETPIVOTDATA("dato",'[1]evolucion mensual nacionali'!$A$4,"indicador","AUSTRIA","mes",3,"año",2007)/GETPIVOTDATA("dato",'[1]evolucion mensual nacionali'!$A$4,"indicador","TOTAL","mes",3,"año",2007)</f>
        <v>7.6741745100400915E-3</v>
      </c>
      <c r="R55" s="204">
        <f>GETPIVOTDATA("dato",'[1]evolucion mensual nacionali'!$A$4,"indicador","RUSIA","mes",3,"año",2007)/GETPIVOTDATA("dato",'[1]evolucion mensual nacionali'!$A$4,"indicador","TOTAL","mes",3,"año",2007)</f>
        <v>1.8095680552448794E-2</v>
      </c>
      <c r="S55" s="204">
        <f>GETPIVOTDATA("dato",'[1]evolucion mensual nacionali'!$A$4,"indicador","PAÍSES DEL ESTE","mes",3,"año",2007)/GETPIVOTDATA("dato",'[1]evolucion mensual nacionali'!$A$4,"indicador","TOTAL","mes",3,"año",2007)</f>
        <v>1.5939111332885961E-2</v>
      </c>
      <c r="T55" s="204">
        <f>GETPIVOTDATA("dato",'[1]evolucion mensual nacionali'!$A$4,"indicador","RESTO DE EUROPA","mes",3,"año",2007)/GETPIVOTDATA("dato",'[1]evolucion mensual nacionali'!$A$4,"indicador","TOTAL","mes",3,"año",2007)</f>
        <v>1.4637140022139249E-2</v>
      </c>
      <c r="U55" s="204">
        <f>GETPIVOTDATA("dato",'[1]evolucion mensual nacionali'!$A$4,"indicador","USA","mes",3,"año",2007)/GETPIVOTDATA("dato",'[1]evolucion mensual nacionali'!$A$4,"indicador","TOTAL","mes",3,"año",2007)</f>
        <v>3.1029360313390804E-3</v>
      </c>
      <c r="V55" s="204">
        <f>GETPIVOTDATA("dato",'[1]evolucion mensual nacionali'!$A$4,"indicador","RESTO DE AMÉRICA","mes",3,"año",2007)/GETPIVOTDATA("dato",'[1]evolucion mensual nacionali'!$A$4,"indicador","TOTAL","mes",3,"año",2007)</f>
        <v>1.439624665186893E-3</v>
      </c>
      <c r="W55" s="204">
        <f>GETPIVOTDATA("dato",'[1]evolucion mensual nacionali'!$A$4,"indicador","RESTO DEL MUNDO","mes",3,"año",2007)/GETPIVOTDATA("dato",'[1]evolucion mensual nacionali'!$A$4,"indicador","TOTAL","mes",3,"año",2007)</f>
        <v>6.3492609735533488E-3</v>
      </c>
      <c r="X55" s="204">
        <f>(GETPIVOTDATA("dato",'[1]evolucion mensual nacionali'!$A$4,"indicador","TOTAL","mes",3,"año",2007)-GETPIVOTDATA("dato",'[1]evolucion mensual nacionali'!$A$4,"indicador","España","mes",3,"año",2007))/GETPIVOTDATA("dato",'[1]evolucion mensual nacionali'!$A$4,"indicador","TOTAL","mes",3,"año",2007)</f>
        <v>0.90183021605841096</v>
      </c>
      <c r="Y55" s="206">
        <f>GETPIVOTDATA("dato",'[1]evolucion mensual nacionali'!$A$4,"indicador","TOTAL","mes",3,"año",2007)/GETPIVOTDATA("dato",'[1]evolucion mensual nacionali'!$A$4,"indicador","TOTAL","mes",3,"año",2007)</f>
        <v>1</v>
      </c>
    </row>
    <row r="56" spans="2:25" hidden="1" outlineLevel="1">
      <c r="B56" s="51" t="s">
        <v>47</v>
      </c>
      <c r="C56" s="204">
        <f>GETPIVOTDATA("dato",'[1]evolucion mensual nacionali'!$A$4,"indicador","España","mes",2,"año",2007)/GETPIVOTDATA("dato",'[1]evolucion mensual nacionali'!$A$4,"indicador","TOTAL","mes",2,"año",2007)</f>
        <v>0.11033544458460746</v>
      </c>
      <c r="D56" s="204">
        <f>GETPIVOTDATA("dato",'[1]evolucion mensual nacionali'!$A$4,"indicador","HOLANDA","mes",2,"año",2007)/GETPIVOTDATA("dato",'[1]evolucion mensual nacionali'!$A$4,"indicador","TOTAL","mes",2,"año",2007)</f>
        <v>3.7566623296854257E-2</v>
      </c>
      <c r="E56" s="204">
        <f>GETPIVOTDATA("dato",'[1]evolucion mensual nacionali'!$A$4,"indicador","BÉLGICA","mes",2,"año",2007)/GETPIVOTDATA("dato",'[1]evolucion mensual nacionali'!$A$4,"indicador","TOTAL","mes",2,"año",2007)</f>
        <v>3.6575942302738904E-2</v>
      </c>
      <c r="F56" s="204">
        <f>GETPIVOTDATA("dato",'[1]evolucion mensual nacionali'!$A$4,"indicador","ALEMANIA","mes",2,"año",2007)/GETPIVOTDATA("dato",'[1]evolucion mensual nacionali'!$A$4,"indicador","TOTAL","mes",2,"año",2007)</f>
        <v>0.13595445509243054</v>
      </c>
      <c r="G56" s="204">
        <f>GETPIVOTDATA("dato",'[1]evolucion mensual nacionali'!$A$4,"indicador","FRANCIA","mes",2,"año",2007)/GETPIVOTDATA("dato",'[1]evolucion mensual nacionali'!$A$4,"indicador","TOTAL","mes",2,"año",2007)</f>
        <v>2.9073184907305281E-2</v>
      </c>
      <c r="H56" s="204">
        <f>GETPIVOTDATA("dato",'[1]evolucion mensual nacionali'!$A$4,"indicador","REINO UNIDO","mes",2,"año",2007)/GETPIVOTDATA("dato",'[1]evolucion mensual nacionali'!$A$4,"indicador","TOTAL","mes",2,"año",2007)</f>
        <v>0.41267147036873147</v>
      </c>
      <c r="I56" s="204">
        <f>GETPIVOTDATA("dato",'[1]evolucion mensual nacionali'!$A$4,"indicador","IRLANDA","mes",2,"año",2007)/GETPIVOTDATA("dato",'[1]evolucion mensual nacionali'!$A$4,"indicador","TOTAL","mes",2,"año",2007)</f>
        <v>8.5396701692743594E-3</v>
      </c>
      <c r="J56" s="204">
        <f>GETPIVOTDATA("dato",'[1]evolucion mensual nacionali'!$A$4,"indicador","ITALIA","mes",2,"año",2007)/GETPIVOTDATA("dato",'[1]evolucion mensual nacionali'!$A$4,"indicador","TOTAL","mes",2,"año",2007)</f>
        <v>3.2309409488082107E-2</v>
      </c>
      <c r="K56" s="204">
        <f>(GETPIVOTDATA("dato",'[1]evolucion mensual nacionali'!$A$4,"indicador","SUECIA","mes",2,"año",2007)+GETPIVOTDATA("dato",'[1]evolucion mensual nacionali'!$A$4,"indicador","NORUEGA","mes",2,"año",2007)+GETPIVOTDATA("dato",'[1]evolucion mensual nacionali'!$A$4,"indicador","DINAMARCA","mes",2,"año",2007)+GETPIVOTDATA("dato",'[1]evolucion mensual nacionali'!$A$4,"indicador","FINLANDIA","mes",2,"año",2007))/GETPIVOTDATA("dato",'[1]evolucion mensual nacionali'!$A$4,"indicador","TOTAL","mes",2,"año",2007)</f>
        <v>0.12925084703224998</v>
      </c>
      <c r="L56" s="204">
        <f>GETPIVOTDATA("dato",'[1]evolucion mensual nacionali'!$A$4,"indicador","SUECIA","mes",2,"año",2007)/GETPIVOTDATA("dato",'[1]evolucion mensual nacionali'!$A$4,"indicador","TOTAL","mes",2,"año",2007)</f>
        <v>4.0650943458533394E-2</v>
      </c>
      <c r="M56" s="204">
        <f>GETPIVOTDATA("dato",'[1]evolucion mensual nacionali'!$A$4,"indicador","NORUEGA","mes",2,"año",2007)/GETPIVOTDATA("dato",'[1]evolucion mensual nacionali'!$A$4,"indicador","TOTAL","mes",2,"año",2007)</f>
        <v>2.2230881507948563E-2</v>
      </c>
      <c r="N56" s="204">
        <f>GETPIVOTDATA("dato",'[1]evolucion mensual nacionali'!$A$4,"indicador","DINAMARCA","mes",2,"año",2007)/GETPIVOTDATA("dato",'[1]evolucion mensual nacionali'!$A$4,"indicador","TOTAL","mes",2,"año",2007)</f>
        <v>4.1126470335708765E-2</v>
      </c>
      <c r="O56" s="204">
        <f>GETPIVOTDATA("dato",'[1]evolucion mensual nacionali'!$A$4,"indicador","FINLANDIA","mes",2,"año",2007)/GETPIVOTDATA("dato",'[1]evolucion mensual nacionali'!$A$4,"indicador","TOTAL","mes",2,"año",2007)</f>
        <v>2.5242551730059244E-2</v>
      </c>
      <c r="P56" s="204">
        <f>GETPIVOTDATA("dato",'[1]evolucion mensual nacionali'!$A$4,"indicador","SUIZA","mes",2,"año",2007)/GETPIVOTDATA("dato",'[1]evolucion mensual nacionali'!$A$4,"indicador","TOTAL","mes",2,"año",2007)</f>
        <v>4.8609414111260079E-3</v>
      </c>
      <c r="Q56" s="204">
        <f>GETPIVOTDATA("dato",'[1]evolucion mensual nacionali'!$A$4,"indicador","AUSTRIA","mes",2,"año",2007)/GETPIVOTDATA("dato",'[1]evolucion mensual nacionali'!$A$4,"indicador","TOTAL","mes",2,"año",2007)</f>
        <v>8.0707478320597575E-3</v>
      </c>
      <c r="R56" s="204">
        <f>GETPIVOTDATA("dato",'[1]evolucion mensual nacionali'!$A$4,"indicador","RUSIA","mes",2,"año",2007)/GETPIVOTDATA("dato",'[1]evolucion mensual nacionali'!$A$4,"indicador","TOTAL","mes",2,"año",2007)</f>
        <v>1.4232783615457266E-2</v>
      </c>
      <c r="S56" s="204">
        <f>GETPIVOTDATA("dato",'[1]evolucion mensual nacionali'!$A$4,"indicador","PAÍSES DEL ESTE","mes",2,"año",2007)/GETPIVOTDATA("dato",'[1]evolucion mensual nacionali'!$A$4,"indicador","TOTAL","mes",2,"año",2007)</f>
        <v>1.6214145603687974E-2</v>
      </c>
      <c r="T56" s="204">
        <f>GETPIVOTDATA("dato",'[1]evolucion mensual nacionali'!$A$4,"indicador","RESTO DE EUROPA","mes",2,"año",2007)/GETPIVOTDATA("dato",'[1]evolucion mensual nacionali'!$A$4,"indicador","TOTAL","mes",2,"año",2007)</f>
        <v>1.571220056666953E-2</v>
      </c>
      <c r="U56" s="204">
        <f>GETPIVOTDATA("dato",'[1]evolucion mensual nacionali'!$A$4,"indicador","USA","mes",2,"año",2007)/GETPIVOTDATA("dato",'[1]evolucion mensual nacionali'!$A$4,"indicador","TOTAL","mes",2,"año",2007)</f>
        <v>1.9681529083091717E-3</v>
      </c>
      <c r="V56" s="204">
        <f>GETPIVOTDATA("dato",'[1]evolucion mensual nacionali'!$A$4,"indicador","RESTO DE AMÉRICA","mes",2,"año",2007)/GETPIVOTDATA("dato",'[1]evolucion mensual nacionali'!$A$4,"indicador","TOTAL","mes",2,"año",2007)</f>
        <v>1.386953391761497E-3</v>
      </c>
      <c r="W56" s="204">
        <f>GETPIVOTDATA("dato",'[1]evolucion mensual nacionali'!$A$4,"indicador","RESTO DEL MUNDO","mes",2,"año",2007)/GETPIVOTDATA("dato",'[1]evolucion mensual nacionali'!$A$4,"indicador","TOTAL","mes",2,"año",2007)</f>
        <v>5.2770274286544567E-3</v>
      </c>
      <c r="X56" s="204">
        <f>(GETPIVOTDATA("dato",'[1]evolucion mensual nacionali'!$A$4,"indicador","TOTAL","mes",2,"año",2007)-GETPIVOTDATA("dato",'[1]evolucion mensual nacionali'!$A$4,"indicador","España","mes",2,"año",2007))/GETPIVOTDATA("dato",'[1]evolucion mensual nacionali'!$A$4,"indicador","TOTAL","mes",2,"año",2007)</f>
        <v>0.88966455541539258</v>
      </c>
      <c r="Y56" s="206">
        <f>GETPIVOTDATA("dato",'[1]evolucion mensual nacionali'!$A$4,"indicador","TOTAL","mes",2,"año",2007)/GETPIVOTDATA("dato",'[1]evolucion mensual nacionali'!$A$4,"indicador","TOTAL","mes",2,"año",2007)</f>
        <v>1</v>
      </c>
    </row>
    <row r="57" spans="2:25" hidden="1" outlineLevel="1">
      <c r="B57" s="51" t="s">
        <v>48</v>
      </c>
      <c r="C57" s="204">
        <f>GETPIVOTDATA("dato",'[1]evolucion mensual nacionali'!$A$4,"indicador","España","mes",1,"año",2007)/GETPIVOTDATA("dato",'[1]evolucion mensual nacionali'!$A$4,"indicador","TOTAL","mes",1,"año",2007)</f>
        <v>9.6010776510489323E-2</v>
      </c>
      <c r="D57" s="204">
        <f>GETPIVOTDATA("dato",'[1]evolucion mensual nacionali'!$A$4,"indicador","HOLANDA","mes",1,"año",2007)/GETPIVOTDATA("dato",'[1]evolucion mensual nacionali'!$A$4,"indicador","TOTAL","mes",1,"año",2007)</f>
        <v>3.1372227236672955E-2</v>
      </c>
      <c r="E57" s="204">
        <f>GETPIVOTDATA("dato",'[1]evolucion mensual nacionali'!$A$4,"indicador","BÉLGICA","mes",1,"año",2007)/GETPIVOTDATA("dato",'[1]evolucion mensual nacionali'!$A$4,"indicador","TOTAL","mes",1,"año",2007)</f>
        <v>3.8059681080933237E-2</v>
      </c>
      <c r="F57" s="204">
        <f>GETPIVOTDATA("dato",'[1]evolucion mensual nacionali'!$A$4,"indicador","ALEMANIA","mes",1,"año",2007)/GETPIVOTDATA("dato",'[1]evolucion mensual nacionali'!$A$4,"indicador","TOTAL","mes",1,"año",2007)</f>
        <v>0.13774924099450234</v>
      </c>
      <c r="G57" s="204">
        <f>GETPIVOTDATA("dato",'[1]evolucion mensual nacionali'!$A$4,"indicador","FRANCIA","mes",1,"año",2007)/GETPIVOTDATA("dato",'[1]evolucion mensual nacionali'!$A$4,"indicador","TOTAL","mes",1,"año",2007)</f>
        <v>2.2900084789803342E-2</v>
      </c>
      <c r="H57" s="204">
        <f>GETPIVOTDATA("dato",'[1]evolucion mensual nacionali'!$A$4,"indicador","REINO UNIDO","mes",1,"año",2007)/GETPIVOTDATA("dato",'[1]evolucion mensual nacionali'!$A$4,"indicador","TOTAL","mes",1,"año",2007)</f>
        <v>0.400248899100134</v>
      </c>
      <c r="I57" s="204">
        <f>GETPIVOTDATA("dato",'[1]evolucion mensual nacionali'!$A$4,"indicador","IRLANDA","mes",1,"año",2007)/GETPIVOTDATA("dato",'[1]evolucion mensual nacionali'!$A$4,"indicador","TOTAL","mes",1,"año",2007)</f>
        <v>8.1781132901178853E-3</v>
      </c>
      <c r="J57" s="204">
        <f>GETPIVOTDATA("dato",'[1]evolucion mensual nacionali'!$A$4,"indicador","ITALIA","mes",1,"año",2007)/GETPIVOTDATA("dato",'[1]evolucion mensual nacionali'!$A$4,"indicador","TOTAL","mes",1,"año",2007)</f>
        <v>4.964306227947813E-2</v>
      </c>
      <c r="K57" s="204">
        <f>(GETPIVOTDATA("dato",'[1]evolucion mensual nacionali'!$A$4,"indicador","SUECIA","mes",1,"año",2007)+GETPIVOTDATA("dato",'[1]evolucion mensual nacionali'!$A$4,"indicador","NORUEGA","mes",1,"año",2007)+GETPIVOTDATA("dato",'[1]evolucion mensual nacionali'!$A$4,"indicador","DINAMARCA","mes",1,"año",2007)+GETPIVOTDATA("dato",'[1]evolucion mensual nacionali'!$A$4,"indicador","FINLANDIA","mes",1,"año",2007))/GETPIVOTDATA("dato",'[1]evolucion mensual nacionali'!$A$4,"indicador","TOTAL","mes",1,"año",2007)</f>
        <v>0.12813517135745739</v>
      </c>
      <c r="L57" s="204">
        <f>GETPIVOTDATA("dato",'[1]evolucion mensual nacionali'!$A$4,"indicador","SUECIA","mes",1,"año",2007)/GETPIVOTDATA("dato",'[1]evolucion mensual nacionali'!$A$4,"indicador","TOTAL","mes",1,"año",2007)</f>
        <v>3.8825524465960999E-2</v>
      </c>
      <c r="M57" s="204">
        <f>GETPIVOTDATA("dato",'[1]evolucion mensual nacionali'!$A$4,"indicador","NORUEGA","mes",1,"año",2007)/GETPIVOTDATA("dato",'[1]evolucion mensual nacionali'!$A$4,"indicador","TOTAL","mes",1,"año",2007)</f>
        <v>2.0021334208582917E-2</v>
      </c>
      <c r="N57" s="204">
        <f>GETPIVOTDATA("dato",'[1]evolucion mensual nacionali'!$A$4,"indicador","DINAMARCA","mes",1,"año",2007)/GETPIVOTDATA("dato",'[1]evolucion mensual nacionali'!$A$4,"indicador","TOTAL","mes",1,"año",2007)</f>
        <v>4.3276989141434866E-2</v>
      </c>
      <c r="O57" s="204">
        <f>GETPIVOTDATA("dato",'[1]evolucion mensual nacionali'!$A$4,"indicador","FINLANDIA","mes",1,"año",2007)/GETPIVOTDATA("dato",'[1]evolucion mensual nacionali'!$A$4,"indicador","TOTAL","mes",1,"año",2007)</f>
        <v>2.6011323541478625E-2</v>
      </c>
      <c r="P57" s="204">
        <f>GETPIVOTDATA("dato",'[1]evolucion mensual nacionali'!$A$4,"indicador","SUIZA","mes",1,"año",2007)/GETPIVOTDATA("dato",'[1]evolucion mensual nacionali'!$A$4,"indicador","TOTAL","mes",1,"año",2007)</f>
        <v>5.408768906758568E-3</v>
      </c>
      <c r="Q57" s="204">
        <f>GETPIVOTDATA("dato",'[1]evolucion mensual nacionali'!$A$4,"indicador","AUSTRIA","mes",1,"año",2007)/GETPIVOTDATA("dato",'[1]evolucion mensual nacionali'!$A$4,"indicador","TOTAL","mes",1,"año",2007)</f>
        <v>1.0448291895735894E-2</v>
      </c>
      <c r="R57" s="204">
        <f>GETPIVOTDATA("dato",'[1]evolucion mensual nacionali'!$A$4,"indicador","RUSIA","mes",1,"año",2007)/GETPIVOTDATA("dato",'[1]evolucion mensual nacionali'!$A$4,"indicador","TOTAL","mes",1,"año",2007)</f>
        <v>2.4465960996690461E-2</v>
      </c>
      <c r="S57" s="204">
        <f>GETPIVOTDATA("dato",'[1]evolucion mensual nacionali'!$A$4,"indicador","PAÍSES DEL ESTE","mes",1,"año",2007)/GETPIVOTDATA("dato",'[1]evolucion mensual nacionali'!$A$4,"indicador","TOTAL","mes",1,"año",2007)</f>
        <v>2.2202620278438775E-2</v>
      </c>
      <c r="T57" s="204">
        <f>GETPIVOTDATA("dato",'[1]evolucion mensual nacionali'!$A$4,"indicador","RESTO DE EUROPA","mes",1,"año",2007)/GETPIVOTDATA("dato",'[1]evolucion mensual nacionali'!$A$4,"indicador","TOTAL","mes",1,"año",2007)</f>
        <v>1.6978474330570828E-2</v>
      </c>
      <c r="U57" s="204">
        <f>GETPIVOTDATA("dato",'[1]evolucion mensual nacionali'!$A$4,"indicador","USA","mes",1,"año",2007)/GETPIVOTDATA("dato",'[1]evolucion mensual nacionali'!$A$4,"indicador","TOTAL","mes",1,"año",2007)</f>
        <v>1.8735811383714888E-3</v>
      </c>
      <c r="V57" s="204">
        <f>GETPIVOTDATA("dato",'[1]evolucion mensual nacionali'!$A$4,"indicador","RESTO DE AMÉRICA","mes",1,"año",2007)/GETPIVOTDATA("dato",'[1]evolucion mensual nacionali'!$A$4,"indicador","TOTAL","mes",1,"año",2007)</f>
        <v>1.3333880364322639E-3</v>
      </c>
      <c r="W57" s="204">
        <f>GETPIVOTDATA("dato",'[1]evolucion mensual nacionali'!$A$4,"indicador","RESTO DEL MUNDO","mes",1,"año",2007)/GETPIVOTDATA("dato",'[1]evolucion mensual nacionali'!$A$4,"indicador","TOTAL","mes",1,"año",2007)</f>
        <v>4.9916577774130905E-3</v>
      </c>
      <c r="X57" s="204">
        <f>(GETPIVOTDATA("dato",'[1]evolucion mensual nacionali'!$A$4,"indicador","TOTAL","mes",1,"año",2007)-GETPIVOTDATA("dato",'[1]evolucion mensual nacionali'!$A$4,"indicador","España","mes",1,"año",2007))/GETPIVOTDATA("dato",'[1]evolucion mensual nacionali'!$A$4,"indicador","TOTAL","mes",1,"año",2007)</f>
        <v>0.90398922348951072</v>
      </c>
      <c r="Y57" s="206">
        <f>GETPIVOTDATA("dato",'[1]evolucion mensual nacionali'!$A$4,"indicador","TOTAL","mes",1,"año",2007)/GETPIVOTDATA("dato",'[1]evolucion mensual nacionali'!$A$4,"indicador","TOTAL","mes",1,"año",2007)</f>
        <v>1</v>
      </c>
    </row>
    <row r="58" spans="2:25" collapsed="1">
      <c r="B58" s="215">
        <v>2007</v>
      </c>
      <c r="C58" s="217">
        <f>GETPIVOTDATA("dato",'[1]evolucion mensual nacionali'!$A$4,"indicador","España","año",2007)/GETPIVOTDATA("dato",'[1]evolucion mensual nacionali'!$A$4,"indicador","TOTAL","año",2007)</f>
        <v>0.18993117372932616</v>
      </c>
      <c r="D58" s="217">
        <f>GETPIVOTDATA("dato",'[1]evolucion mensual nacionali'!$A$4,"indicador","HOLANDA","año",2007)/GETPIVOTDATA("dato",'[1]evolucion mensual nacionali'!$A$4,"indicador","TOTAL","año",2007)</f>
        <v>3.5736346886973538E-2</v>
      </c>
      <c r="E58" s="217">
        <f>GETPIVOTDATA("dato",'[1]evolucion mensual nacionali'!$A$4,"indicador","BÉLGICA","año",2007)/GETPIVOTDATA("dato",'[1]evolucion mensual nacionali'!$A$4,"indicador","TOTAL","año",2007)</f>
        <v>3.4774449170369912E-2</v>
      </c>
      <c r="F58" s="217">
        <f>GETPIVOTDATA("dato",'[1]evolucion mensual nacionali'!$A$4,"indicador","ALEMANIA","año",2007)/GETPIVOTDATA("dato",'[1]evolucion mensual nacionali'!$A$4,"indicador","TOTAL","año",2007)</f>
        <v>0.14135239500220001</v>
      </c>
      <c r="G58" s="217">
        <f>GETPIVOTDATA("dato",'[1]evolucion mensual nacionali'!$A$4,"indicador","FRANCIA","año",2007)/GETPIVOTDATA("dato",'[1]evolucion mensual nacionali'!$A$4,"indicador","TOTAL","año",2007)</f>
        <v>2.1818002742773457E-2</v>
      </c>
      <c r="H58" s="217">
        <f>GETPIVOTDATA("dato",'[1]evolucion mensual nacionali'!$A$4,"indicador","REINO UNIDO","año",2007)/GETPIVOTDATA("dato",'[1]evolucion mensual nacionali'!$A$4,"indicador","TOTAL","año",2007)</f>
        <v>0.37700395357625754</v>
      </c>
      <c r="I58" s="217">
        <f>GETPIVOTDATA("dato",'[1]evolucion mensual nacionali'!$A$4,"indicador","IRLANDA","año",2007)/GETPIVOTDATA("dato",'[1]evolucion mensual nacionali'!$A$4,"indicador","TOTAL","año",2007)</f>
        <v>9.6270063623351467E-3</v>
      </c>
      <c r="J58" s="217">
        <f>GETPIVOTDATA("dato",'[1]evolucion mensual nacionali'!$A$4,"indicador","ITALIA","año",2007)/GETPIVOTDATA("dato",'[1]evolucion mensual nacionali'!$A$4,"indicador","TOTAL","año",2007)</f>
        <v>2.9103695464360538E-2</v>
      </c>
      <c r="K58" s="217">
        <f>(GETPIVOTDATA("dato",'[1]evolucion mensual nacionali'!$A$4,"indicador","SUECIA","año",2007)+GETPIVOTDATA("dato",'[1]evolucion mensual nacionali'!$A$4,"indicador","NORUEGA","año",2007)+GETPIVOTDATA("dato",'[1]evolucion mensual nacionali'!$A$4,"indicador","DINAMARCA","año",2007)+GETPIVOTDATA("dato",'[1]evolucion mensual nacionali'!$A$4,"indicador","FINLANDIA","año",2007))/GETPIVOTDATA("dato",'[1]evolucion mensual nacionali'!$A$4,"indicador","TOTAL","año",2007)</f>
        <v>6.8310796271455351E-2</v>
      </c>
      <c r="L58" s="217">
        <f>GETPIVOTDATA("dato",'[1]evolucion mensual nacionali'!$A$4,"indicador","SUECIA","año",2007)/GETPIVOTDATA("dato",'[1]evolucion mensual nacionali'!$A$4,"indicador","TOTAL","año",2007)</f>
        <v>2.1533233914040495E-2</v>
      </c>
      <c r="M58" s="217">
        <f>GETPIVOTDATA("dato",'[1]evolucion mensual nacionali'!$A$4,"indicador","NORUEGA","año",2007)/GETPIVOTDATA("dato",'[1]evolucion mensual nacionali'!$A$4,"indicador","TOTAL","año",2007)</f>
        <v>1.2506811434860201E-2</v>
      </c>
      <c r="N58" s="217">
        <f>GETPIVOTDATA("dato",'[1]evolucion mensual nacionali'!$A$4,"indicador","DINAMARCA","año",2007)/GETPIVOTDATA("dato",'[1]evolucion mensual nacionali'!$A$4,"indicador","TOTAL","año",2007)</f>
        <v>2.1317516173477744E-2</v>
      </c>
      <c r="O58" s="217">
        <f>GETPIVOTDATA("dato",'[1]evolucion mensual nacionali'!$A$4,"indicador","FINLANDIA","año",2007)/GETPIVOTDATA("dato",'[1]evolucion mensual nacionali'!$A$4,"indicador","TOTAL","año",2007)</f>
        <v>1.2953234749076911E-2</v>
      </c>
      <c r="P58" s="217">
        <f>GETPIVOTDATA("dato",'[1]evolucion mensual nacionali'!$A$4,"indicador","SUIZA","año",2007)/GETPIVOTDATA("dato",'[1]evolucion mensual nacionali'!$A$4,"indicador","TOTAL","año",2007)</f>
        <v>5.8581016196494777E-3</v>
      </c>
      <c r="Q58" s="217">
        <f>GETPIVOTDATA("dato",'[1]evolucion mensual nacionali'!$A$4,"indicador","AUSTRIA","año",2007)/GETPIVOTDATA("dato",'[1]evolucion mensual nacionali'!$A$4,"indicador","TOTAL","año",2007)</f>
        <v>7.7519213866743177E-3</v>
      </c>
      <c r="R58" s="217">
        <f>GETPIVOTDATA("dato",'[1]evolucion mensual nacionali'!$A$4,"indicador","RUSIA","año",2007)/GETPIVOTDATA("dato",'[1]evolucion mensual nacionali'!$A$4,"indicador","TOTAL","año",2007)</f>
        <v>2.5723939102293033E-2</v>
      </c>
      <c r="S58" s="217">
        <f>GETPIVOTDATA("dato",'[1]evolucion mensual nacionali'!$A$4,"indicador","PAÍSES DEL ESTE","año",2007)/GETPIVOTDATA("dato",'[1]evolucion mensual nacionali'!$A$4,"indicador","TOTAL","año",2007)</f>
        <v>2.0646810642646167E-2</v>
      </c>
      <c r="T58" s="217">
        <f>GETPIVOTDATA("dato",'[1]evolucion mensual nacionali'!$A$4,"indicador","RESTO DE EUROPA","año",2007)/GETPIVOTDATA("dato",'[1]evolucion mensual nacionali'!$A$4,"indicador","TOTAL","año",2007)</f>
        <v>2.3751433211539347E-2</v>
      </c>
      <c r="U58" s="217">
        <f>GETPIVOTDATA("dato",'[1]evolucion mensual nacionali'!$A$4,"indicador","USA","año",2007)/GETPIVOTDATA("dato",'[1]evolucion mensual nacionali'!$A$4,"indicador","TOTAL","año",2007)</f>
        <v>1.9254012724670294E-3</v>
      </c>
      <c r="V58" s="217">
        <f>GETPIVOTDATA("dato",'[1]evolucion mensual nacionali'!$A$4,"indicador","RESTO DE AMÉRICA","año",2007)/GETPIVOTDATA("dato",'[1]evolucion mensual nacionali'!$A$4,"indicador","TOTAL","año",2007)</f>
        <v>1.4714840417047162E-3</v>
      </c>
      <c r="W58" s="217">
        <f>GETPIVOTDATA("dato",'[1]evolucion mensual nacionali'!$A$4,"indicador","RESTO DEL MUNDO","año",2007)/GETPIVOTDATA("dato",'[1]evolucion mensual nacionali'!$A$4,"indicador","TOTAL","año",2007)</f>
        <v>5.2130895169742566E-3</v>
      </c>
      <c r="X58" s="217">
        <f>(GETPIVOTDATA("dato",'[1]evolucion mensual nacionali'!$A$4,"indicador","TOTAL","año",2007)-GETPIVOTDATA("dato",'[1]evolucion mensual nacionali'!$A$4,"indicador","España","año",2007))/GETPIVOTDATA("dato",'[1]evolucion mensual nacionali'!$A$4,"indicador","TOTAL","año",2007)</f>
        <v>0.81006882627067389</v>
      </c>
      <c r="Y58" s="298">
        <f>GETPIVOTDATA("dato",'[1]evolucion mensual nacionali'!$A$4,"indicador","TOTAL","año",2007)/GETPIVOTDATA("dato",'[1]evolucion mensual nacionali'!$A$4,"indicador","TOTAL","año",2007)</f>
        <v>1</v>
      </c>
    </row>
    <row r="59" spans="2:25" hidden="1" outlineLevel="1">
      <c r="B59" s="51" t="s">
        <v>37</v>
      </c>
      <c r="C59" s="204">
        <f>GETPIVOTDATA("dato",'[1]evolucion mensual nacionali'!$A$4,"indicador","España","mes",12,"año",2006)/GETPIVOTDATA("dato",'[1]evolucion mensual nacionali'!$A$4,"indicador","TOTAL","mes",12,"año",2006)</f>
        <v>0.13148033456574643</v>
      </c>
      <c r="D59" s="204">
        <f>GETPIVOTDATA("dato",'[1]evolucion mensual nacionali'!$A$4,"indicador","HOLANDA","mes",12,"año",2006)/GETPIVOTDATA("dato",'[1]evolucion mensual nacionali'!$A$4,"indicador","TOTAL","mes",12,"año",2006)</f>
        <v>2.8495642762857445E-2</v>
      </c>
      <c r="E59" s="204">
        <f>GETPIVOTDATA("dato",'[1]evolucion mensual nacionali'!$A$4,"indicador","BÉLGICA","mes",12,"año",2006)/GETPIVOTDATA("dato",'[1]evolucion mensual nacionali'!$A$4,"indicador","TOTAL","mes",12,"año",2006)</f>
        <v>3.6809739191361851E-2</v>
      </c>
      <c r="F59" s="204">
        <f>GETPIVOTDATA("dato",'[1]evolucion mensual nacionali'!$A$4,"indicador","ALEMANIA","mes",12,"año",2006)/GETPIVOTDATA("dato",'[1]evolucion mensual nacionali'!$A$4,"indicador","TOTAL","mes",12,"año",2006)</f>
        <v>0.11843051880211949</v>
      </c>
      <c r="G59" s="204">
        <f>GETPIVOTDATA("dato",'[1]evolucion mensual nacionali'!$A$4,"indicador","FRANCIA","mes",12,"año",2006)/GETPIVOTDATA("dato",'[1]evolucion mensual nacionali'!$A$4,"indicador","TOTAL","mes",12,"año",2006)</f>
        <v>1.8673873468085505E-2</v>
      </c>
      <c r="H59" s="204">
        <f>GETPIVOTDATA("dato",'[1]evolucion mensual nacionali'!$A$4,"indicador","REINO UNIDO","mes",12,"año",2006)/GETPIVOTDATA("dato",'[1]evolucion mensual nacionali'!$A$4,"indicador","TOTAL","mes",12,"año",2006)</f>
        <v>0.4364368873124011</v>
      </c>
      <c r="I59" s="204">
        <f>GETPIVOTDATA("dato",'[1]evolucion mensual nacionali'!$A$4,"indicador","IRLANDA","mes",12,"año",2006)/GETPIVOTDATA("dato",'[1]evolucion mensual nacionali'!$A$4,"indicador","TOTAL","mes",12,"año",2006)</f>
        <v>7.9575098999680946E-3</v>
      </c>
      <c r="J59" s="204">
        <f>GETPIVOTDATA("dato",'[1]evolucion mensual nacionali'!$A$4,"indicador","ITALIA","mes",12,"año",2006)/GETPIVOTDATA("dato",'[1]evolucion mensual nacionali'!$A$4,"indicador","TOTAL","mes",12,"año",2006)</f>
        <v>3.1592315247514845E-2</v>
      </c>
      <c r="K59" s="204">
        <f>(GETPIVOTDATA("dato",'[1]evolucion mensual nacionali'!$A$4,"indicador","SUECIA","mes",12,"año",2006)+GETPIVOTDATA("dato",'[1]evolucion mensual nacionali'!$A$4,"indicador","NORUEGA","mes",12,"año",2006)+GETPIVOTDATA("dato",'[1]evolucion mensual nacionali'!$A$4,"indicador","DINAMARCA","mes",12,"año",2006)+GETPIVOTDATA("dato",'[1]evolucion mensual nacionali'!$A$4,"indicador","FINLANDIA","mes",12,"año",2006))/GETPIVOTDATA("dato",'[1]evolucion mensual nacionali'!$A$4,"indicador","TOTAL","mes",12,"año",2006)</f>
        <v>0.10523681724627618</v>
      </c>
      <c r="L59" s="204">
        <f>GETPIVOTDATA("dato",'[1]evolucion mensual nacionali'!$A$4,"indicador","SUECIA","mes",12,"año",2006)/GETPIVOTDATA("dato",'[1]evolucion mensual nacionali'!$A$4,"indicador","TOTAL","mes",12,"año",2006)</f>
        <v>3.6584526647023129E-2</v>
      </c>
      <c r="M59" s="204">
        <f>GETPIVOTDATA("dato",'[1]evolucion mensual nacionali'!$A$4,"indicador","NORUEGA","mes",12,"año",2006)/GETPIVOTDATA("dato",'[1]evolucion mensual nacionali'!$A$4,"indicador","TOTAL","mes",12,"año",2006)</f>
        <v>1.5677295447578652E-2</v>
      </c>
      <c r="N59" s="204">
        <f>GETPIVOTDATA("dato",'[1]evolucion mensual nacionali'!$A$4,"indicador","DINAMARCA","mes",12,"año",2006)/GETPIVOTDATA("dato",'[1]evolucion mensual nacionali'!$A$4,"indicador","TOTAL","mes",12,"año",2006)</f>
        <v>3.037241396568011E-2</v>
      </c>
      <c r="O59" s="204">
        <f>GETPIVOTDATA("dato",'[1]evolucion mensual nacionali'!$A$4,"indicador","FINLANDIA","mes",12,"año",2006)/GETPIVOTDATA("dato",'[1]evolucion mensual nacionali'!$A$4,"indicador","TOTAL","mes",12,"año",2006)</f>
        <v>2.2602581185994283E-2</v>
      </c>
      <c r="P59" s="204">
        <f>GETPIVOTDATA("dato",'[1]evolucion mensual nacionali'!$A$4,"indicador","SUIZA","mes",12,"año",2006)/GETPIVOTDATA("dato",'[1]evolucion mensual nacionali'!$A$4,"indicador","TOTAL","mes",12,"año",2006)</f>
        <v>6.8877503143591765E-3</v>
      </c>
      <c r="Q59" s="204">
        <f>GETPIVOTDATA("dato",'[1]evolucion mensual nacionali'!$A$4,"indicador","AUSTRIA","mes",12,"año",2006)/GETPIVOTDATA("dato",'[1]evolucion mensual nacionali'!$A$4,"indicador","TOTAL","mes",12,"año",2006)</f>
        <v>7.3444313070460251E-3</v>
      </c>
      <c r="R59" s="204">
        <f>GETPIVOTDATA("dato",'[1]evolucion mensual nacionali'!$A$4,"indicador","RUSIA","mes",12,"año",2006)/GETPIVOTDATA("dato",'[1]evolucion mensual nacionali'!$A$4,"indicador","TOTAL","mes",12,"año",2006)</f>
        <v>2.5624182822538772E-2</v>
      </c>
      <c r="S59" s="204">
        <f>GETPIVOTDATA("dato",'[1]evolucion mensual nacionali'!$A$4,"indicador","PAÍSES DEL ESTE","mes",12,"año",2006)/GETPIVOTDATA("dato",'[1]evolucion mensual nacionali'!$A$4,"indicador","TOTAL","mes",12,"año",2006)</f>
        <v>1.8085818491201069E-2</v>
      </c>
      <c r="T59" s="204">
        <f>GETPIVOTDATA("dato",'[1]evolucion mensual nacionali'!$A$4,"indicador","RESTO DE EUROPA","mes",12,"año",2006)/GETPIVOTDATA("dato",'[1]evolucion mensual nacionali'!$A$4,"indicador","TOTAL","mes",12,"año",2006)</f>
        <v>1.7391413146156685E-2</v>
      </c>
      <c r="U59" s="204">
        <f>GETPIVOTDATA("dato",'[1]evolucion mensual nacionali'!$A$4,"indicador","USA","mes",12,"año",2006)/GETPIVOTDATA("dato",'[1]evolucion mensual nacionali'!$A$4,"indicador","TOTAL","mes",12,"año",2006)</f>
        <v>2.0331688030578859E-3</v>
      </c>
      <c r="V59" s="204">
        <f>GETPIVOTDATA("dato",'[1]evolucion mensual nacionali'!$A$4,"indicador","RESTO DE AMÉRICA","mes",12,"año",2006)/GETPIVOTDATA("dato",'[1]evolucion mensual nacionali'!$A$4,"indicador","TOTAL","mes",12,"año",2006)</f>
        <v>1.0885272976371451E-3</v>
      </c>
      <c r="W59" s="204">
        <f>GETPIVOTDATA("dato",'[1]evolucion mensual nacionali'!$A$4,"indicador","RESTO DEL MUNDO","mes",12,"año",2006)/GETPIVOTDATA("dato",'[1]evolucion mensual nacionali'!$A$4,"indicador","TOTAL","mes",12,"año",2006)</f>
        <v>6.4310693216723279E-3</v>
      </c>
      <c r="X59" s="204">
        <f>(GETPIVOTDATA("dato",'[1]evolucion mensual nacionali'!$A$4,"indicador","TOTAL","mes",12,"año",2006)-GETPIVOTDATA("dato",'[1]evolucion mensual nacionali'!$A$4,"indicador","España","mes",12,"año",2006))/GETPIVOTDATA("dato",'[1]evolucion mensual nacionali'!$A$4,"indicador","TOTAL","mes",12,"año",2006)</f>
        <v>0.86851966543425363</v>
      </c>
      <c r="Y59" s="206">
        <f>GETPIVOTDATA("dato",'[1]evolucion mensual nacionali'!$A$4,"indicador","TOTAL","mes",12,"año",2006)/GETPIVOTDATA("dato",'[1]evolucion mensual nacionali'!$A$4,"indicador","TOTAL","mes",12,"año",2006)</f>
        <v>1</v>
      </c>
    </row>
    <row r="60" spans="2:25" hidden="1" outlineLevel="1">
      <c r="B60" s="51" t="s">
        <v>38</v>
      </c>
      <c r="C60" s="204">
        <f>GETPIVOTDATA("dato",'[1]evolucion mensual nacionali'!$A$4,"indicador","España","mes",11,"año",2006)/GETPIVOTDATA("dato",'[1]evolucion mensual nacionali'!$A$4,"indicador","TOTAL","mes",11,"año",2006)</f>
        <v>0.11333368357456199</v>
      </c>
      <c r="D60" s="204">
        <f>GETPIVOTDATA("dato",'[1]evolucion mensual nacionali'!$A$4,"indicador","HOLANDA","mes",11,"año",2006)/GETPIVOTDATA("dato",'[1]evolucion mensual nacionali'!$A$4,"indicador","TOTAL","mes",11,"año",2006)</f>
        <v>2.617615382594762E-2</v>
      </c>
      <c r="E60" s="204">
        <f>GETPIVOTDATA("dato",'[1]evolucion mensual nacionali'!$A$4,"indicador","BÉLGICA","mes",11,"año",2006)/GETPIVOTDATA("dato",'[1]evolucion mensual nacionali'!$A$4,"indicador","TOTAL","mes",11,"año",2006)</f>
        <v>3.0569492237778769E-2</v>
      </c>
      <c r="F60" s="204">
        <f>GETPIVOTDATA("dato",'[1]evolucion mensual nacionali'!$A$4,"indicador","ALEMANIA","mes",11,"año",2006)/GETPIVOTDATA("dato",'[1]evolucion mensual nacionali'!$A$4,"indicador","TOTAL","mes",11,"año",2006)</f>
        <v>0.16718983950195698</v>
      </c>
      <c r="G60" s="204">
        <f>GETPIVOTDATA("dato",'[1]evolucion mensual nacionali'!$A$4,"indicador","FRANCIA","mes",11,"año",2006)/GETPIVOTDATA("dato",'[1]evolucion mensual nacionali'!$A$4,"indicador","TOTAL","mes",11,"año",2006)</f>
        <v>1.620084583256718E-2</v>
      </c>
      <c r="H60" s="204">
        <f>GETPIVOTDATA("dato",'[1]evolucion mensual nacionali'!$A$4,"indicador","REINO UNIDO","mes",11,"año",2006)/GETPIVOTDATA("dato",'[1]evolucion mensual nacionali'!$A$4,"indicador","TOTAL","mes",11,"año",2006)</f>
        <v>0.41810922272715334</v>
      </c>
      <c r="I60" s="204">
        <f>GETPIVOTDATA("dato",'[1]evolucion mensual nacionali'!$A$4,"indicador","IRLANDA","mes",11,"año",2006)/GETPIVOTDATA("dato",'[1]evolucion mensual nacionali'!$A$4,"indicador","TOTAL","mes",11,"año",2006)</f>
        <v>7.6637158843153221E-3</v>
      </c>
      <c r="J60" s="204">
        <f>GETPIVOTDATA("dato",'[1]evolucion mensual nacionali'!$A$4,"indicador","ITALIA","mes",11,"año",2006)/GETPIVOTDATA("dato",'[1]evolucion mensual nacionali'!$A$4,"indicador","TOTAL","mes",11,"año",2006)</f>
        <v>2.331293178176469E-2</v>
      </c>
      <c r="K60" s="204">
        <f>(GETPIVOTDATA("dato",'[1]evolucion mensual nacionali'!$A$4,"indicador","SUECIA","mes",11,"año",2006)+GETPIVOTDATA("dato",'[1]evolucion mensual nacionali'!$A$4,"indicador","NORUEGA","mes",11,"año",2006)+GETPIVOTDATA("dato",'[1]evolucion mensual nacionali'!$A$4,"indicador","DINAMARCA","mes",11,"año",2006)+GETPIVOTDATA("dato",'[1]evolucion mensual nacionali'!$A$4,"indicador","FINLANDIA","mes",11,"año",2006))/GETPIVOTDATA("dato",'[1]evolucion mensual nacionali'!$A$4,"indicador","TOTAL","mes",11,"año",2006)</f>
        <v>0.10742992986419396</v>
      </c>
      <c r="L60" s="204">
        <f>GETPIVOTDATA("dato",'[1]evolucion mensual nacionali'!$A$4,"indicador","SUECIA","mes",11,"año",2006)/GETPIVOTDATA("dato",'[1]evolucion mensual nacionali'!$A$4,"indicador","TOTAL","mes",11,"año",2006)</f>
        <v>4.1339410018650345E-2</v>
      </c>
      <c r="M60" s="204">
        <f>GETPIVOTDATA("dato",'[1]evolucion mensual nacionali'!$A$4,"indicador","NORUEGA","mes",11,"año",2006)/GETPIVOTDATA("dato",'[1]evolucion mensual nacionali'!$A$4,"indicador","TOTAL","mes",11,"año",2006)</f>
        <v>2.2551157109459138E-2</v>
      </c>
      <c r="N60" s="204">
        <f>GETPIVOTDATA("dato",'[1]evolucion mensual nacionali'!$A$4,"indicador","DINAMARCA","mes",11,"año",2006)/GETPIVOTDATA("dato",'[1]evolucion mensual nacionali'!$A$4,"indicador","TOTAL","mes",11,"año",2006)</f>
        <v>2.4540965089705536E-2</v>
      </c>
      <c r="O60" s="204">
        <f>GETPIVOTDATA("dato",'[1]evolucion mensual nacionali'!$A$4,"indicador","FINLANDIA","mes",11,"año",2006)/GETPIVOTDATA("dato",'[1]evolucion mensual nacionali'!$A$4,"indicador","TOTAL","mes",11,"año",2006)</f>
        <v>1.8998397646378944E-2</v>
      </c>
      <c r="P60" s="204">
        <f>GETPIVOTDATA("dato",'[1]evolucion mensual nacionali'!$A$4,"indicador","SUIZA","mes",11,"año",2006)/GETPIVOTDATA("dato",'[1]evolucion mensual nacionali'!$A$4,"indicador","TOTAL","mes",11,"año",2006)</f>
        <v>8.1825107042475496E-3</v>
      </c>
      <c r="Q60" s="204">
        <f>GETPIVOTDATA("dato",'[1]evolucion mensual nacionali'!$A$4,"indicador","AUSTRIA","mes",11,"año",2006)/GETPIVOTDATA("dato",'[1]evolucion mensual nacionali'!$A$4,"indicador","TOTAL","mes",11,"año",2006)</f>
        <v>1.0329927237384748E-2</v>
      </c>
      <c r="R60" s="204">
        <f>GETPIVOTDATA("dato",'[1]evolucion mensual nacionali'!$A$4,"indicador","RUSIA","mes",11,"año",2006)/GETPIVOTDATA("dato",'[1]evolucion mensual nacionali'!$A$4,"indicador","TOTAL","mes",11,"año",2006)</f>
        <v>2.3424571173395678E-2</v>
      </c>
      <c r="S60" s="204">
        <f>GETPIVOTDATA("dato",'[1]evolucion mensual nacionali'!$A$4,"indicador","PAÍSES DEL ESTE","mes",11,"año",2006)/GETPIVOTDATA("dato",'[1]evolucion mensual nacionali'!$A$4,"indicador","TOTAL","mes",11,"año",2006)</f>
        <v>2.6957629567364524E-2</v>
      </c>
      <c r="T60" s="204">
        <f>GETPIVOTDATA("dato",'[1]evolucion mensual nacionali'!$A$4,"indicador","RESTO DE EUROPA","mes",11,"año",2006)/GETPIVOTDATA("dato",'[1]evolucion mensual nacionali'!$A$4,"indicador","TOTAL","mes",11,"año",2006)</f>
        <v>1.3436129133941002E-2</v>
      </c>
      <c r="U60" s="204">
        <f>GETPIVOTDATA("dato",'[1]evolucion mensual nacionali'!$A$4,"indicador","USA","mes",11,"año",2006)/GETPIVOTDATA("dato",'[1]evolucion mensual nacionali'!$A$4,"indicador","TOTAL","mes",11,"año",2006)</f>
        <v>2.0357771415062125E-3</v>
      </c>
      <c r="V60" s="204">
        <f>GETPIVOTDATA("dato",'[1]evolucion mensual nacionali'!$A$4,"indicador","RESTO DE AMÉRICA","mes",11,"año",2006)/GETPIVOTDATA("dato",'[1]evolucion mensual nacionali'!$A$4,"indicador","TOTAL","mes",11,"año",2006)</f>
        <v>8.6028001786230262E-4</v>
      </c>
      <c r="W60" s="204">
        <f>GETPIVOTDATA("dato",'[1]evolucion mensual nacionali'!$A$4,"indicador","RESTO DEL MUNDO","mes",11,"año",2006)/GETPIVOTDATA("dato",'[1]evolucion mensual nacionali'!$A$4,"indicador","TOTAL","mes",11,"año",2006)</f>
        <v>4.7873597940581575E-3</v>
      </c>
      <c r="X60" s="204">
        <f>(GETPIVOTDATA("dato",'[1]evolucion mensual nacionali'!$A$4,"indicador","TOTAL","mes",11,"año",2006)-GETPIVOTDATA("dato",'[1]evolucion mensual nacionali'!$A$4,"indicador","España","mes",11,"año",2006))/GETPIVOTDATA("dato",'[1]evolucion mensual nacionali'!$A$4,"indicador","TOTAL","mes",11,"año",2006)</f>
        <v>0.88666631642543803</v>
      </c>
      <c r="Y60" s="206">
        <f>GETPIVOTDATA("dato",'[1]evolucion mensual nacionali'!$A$4,"indicador","TOTAL","mes",11,"año",2006)/GETPIVOTDATA("dato",'[1]evolucion mensual nacionali'!$A$4,"indicador","TOTAL","mes",11,"año",2006)</f>
        <v>1</v>
      </c>
    </row>
    <row r="61" spans="2:25" hidden="1" outlineLevel="1">
      <c r="B61" s="51" t="s">
        <v>39</v>
      </c>
      <c r="C61" s="204">
        <f>GETPIVOTDATA("dato",'[1]evolucion mensual nacionali'!$A$4,"indicador","España","mes",10,"año",2006)/GETPIVOTDATA("dato",'[1]evolucion mensual nacionali'!$A$4,"indicador","TOTAL","mes",10,"año",2006)</f>
        <v>0.1617541459111958</v>
      </c>
      <c r="D61" s="204">
        <f>GETPIVOTDATA("dato",'[1]evolucion mensual nacionali'!$A$4,"indicador","HOLANDA","mes",10,"año",2006)/GETPIVOTDATA("dato",'[1]evolucion mensual nacionali'!$A$4,"indicador","TOTAL","mes",10,"año",2006)</f>
        <v>4.9564347142671362E-2</v>
      </c>
      <c r="E61" s="204">
        <f>GETPIVOTDATA("dato",'[1]evolucion mensual nacionali'!$A$4,"indicador","BÉLGICA","mes",10,"año",2006)/GETPIVOTDATA("dato",'[1]evolucion mensual nacionali'!$A$4,"indicador","TOTAL","mes",10,"año",2006)</f>
        <v>3.2720611101373392E-2</v>
      </c>
      <c r="F61" s="204">
        <f>GETPIVOTDATA("dato",'[1]evolucion mensual nacionali'!$A$4,"indicador","ALEMANIA","mes",10,"año",2006)/GETPIVOTDATA("dato",'[1]evolucion mensual nacionali'!$A$4,"indicador","TOTAL","mes",10,"año",2006)</f>
        <v>0.13629912756345378</v>
      </c>
      <c r="G61" s="204">
        <f>GETPIVOTDATA("dato",'[1]evolucion mensual nacionali'!$A$4,"indicador","FRANCIA","mes",10,"año",2006)/GETPIVOTDATA("dato",'[1]evolucion mensual nacionali'!$A$4,"indicador","TOTAL","mes",10,"año",2006)</f>
        <v>1.9863056298449065E-2</v>
      </c>
      <c r="H61" s="204">
        <f>GETPIVOTDATA("dato",'[1]evolucion mensual nacionali'!$A$4,"indicador","REINO UNIDO","mes",10,"año",2006)/GETPIVOTDATA("dato",'[1]evolucion mensual nacionali'!$A$4,"indicador","TOTAL","mes",10,"año",2006)</f>
        <v>0.41840202192682391</v>
      </c>
      <c r="I61" s="204">
        <f>GETPIVOTDATA("dato",'[1]evolucion mensual nacionali'!$A$4,"indicador","IRLANDA","mes",10,"año",2006)/GETPIVOTDATA("dato",'[1]evolucion mensual nacionali'!$A$4,"indicador","TOTAL","mes",10,"año",2006)</f>
        <v>9.9456635436868494E-3</v>
      </c>
      <c r="J61" s="204">
        <f>GETPIVOTDATA("dato",'[1]evolucion mensual nacionali'!$A$4,"indicador","ITALIA","mes",10,"año",2006)/GETPIVOTDATA("dato",'[1]evolucion mensual nacionali'!$A$4,"indicador","TOTAL","mes",10,"año",2006)</f>
        <v>2.7021220054166833E-2</v>
      </c>
      <c r="K61" s="204">
        <f>(GETPIVOTDATA("dato",'[1]evolucion mensual nacionali'!$A$4,"indicador","SUECIA","mes",10,"año",2006)+GETPIVOTDATA("dato",'[1]evolucion mensual nacionali'!$A$4,"indicador","NORUEGA","mes",10,"año",2006)+GETPIVOTDATA("dato",'[1]evolucion mensual nacionali'!$A$4,"indicador","DINAMARCA","mes",10,"año",2006)+GETPIVOTDATA("dato",'[1]evolucion mensual nacionali'!$A$4,"indicador","FINLANDIA","mes",10,"año",2006))/GETPIVOTDATA("dato",'[1]evolucion mensual nacionali'!$A$4,"indicador","TOTAL","mes",10,"año",2006)</f>
        <v>6.6272383397131082E-2</v>
      </c>
      <c r="L61" s="204">
        <f>GETPIVOTDATA("dato",'[1]evolucion mensual nacionali'!$A$4,"indicador","SUECIA","mes",10,"año",2006)/GETPIVOTDATA("dato",'[1]evolucion mensual nacionali'!$A$4,"indicador","TOTAL","mes",10,"año",2006)</f>
        <v>2.597520086395531E-2</v>
      </c>
      <c r="M61" s="204">
        <f>GETPIVOTDATA("dato",'[1]evolucion mensual nacionali'!$A$4,"indicador","NORUEGA","mes",10,"año",2006)/GETPIVOTDATA("dato",'[1]evolucion mensual nacionali'!$A$4,"indicador","TOTAL","mes",10,"año",2006)</f>
        <v>1.2026393608540039E-2</v>
      </c>
      <c r="N61" s="204">
        <f>GETPIVOTDATA("dato",'[1]evolucion mensual nacionali'!$A$4,"indicador","DINAMARCA","mes",10,"año",2006)/GETPIVOTDATA("dato",'[1]evolucion mensual nacionali'!$A$4,"indicador","TOTAL","mes",10,"año",2006)</f>
        <v>1.808765075398194E-2</v>
      </c>
      <c r="O61" s="204">
        <f>GETPIVOTDATA("dato",'[1]evolucion mensual nacionali'!$A$4,"indicador","FINLANDIA","mes",10,"año",2006)/GETPIVOTDATA("dato",'[1]evolucion mensual nacionali'!$A$4,"indicador","TOTAL","mes",10,"año",2006)</f>
        <v>1.0183138170653791E-2</v>
      </c>
      <c r="P61" s="204">
        <f>GETPIVOTDATA("dato",'[1]evolucion mensual nacionali'!$A$4,"indicador","SUIZA","mes",10,"año",2006)/GETPIVOTDATA("dato",'[1]evolucion mensual nacionali'!$A$4,"indicador","TOTAL","mes",10,"año",2006)</f>
        <v>9.9456635436868494E-3</v>
      </c>
      <c r="Q61" s="204">
        <f>GETPIVOTDATA("dato",'[1]evolucion mensual nacionali'!$A$4,"indicador","AUSTRIA","mes",10,"año",2006)/GETPIVOTDATA("dato",'[1]evolucion mensual nacionali'!$A$4,"indicador","TOTAL","mes",10,"año",2006)</f>
        <v>8.2663786815634875E-3</v>
      </c>
      <c r="R61" s="204">
        <f>GETPIVOTDATA("dato",'[1]evolucion mensual nacionali'!$A$4,"indicador","RUSIA","mes",10,"año",2006)/GETPIVOTDATA("dato",'[1]evolucion mensual nacionali'!$A$4,"indicador","TOTAL","mes",10,"año",2006)</f>
        <v>2.0914729646445515E-2</v>
      </c>
      <c r="S61" s="204">
        <f>GETPIVOTDATA("dato",'[1]evolucion mensual nacionali'!$A$4,"indicador","PAÍSES DEL ESTE","mes",10,"año",2006)/GETPIVOTDATA("dato",'[1]evolucion mensual nacionali'!$A$4,"indicador","TOTAL","mes",10,"año",2006)</f>
        <v>1.8421246063292641E-2</v>
      </c>
      <c r="T61" s="204">
        <f>GETPIVOTDATA("dato",'[1]evolucion mensual nacionali'!$A$4,"indicador","RESTO DE EUROPA","mes",10,"año",2006)/GETPIVOTDATA("dato",'[1]evolucion mensual nacionali'!$A$4,"indicador","TOTAL","mes",10,"año",2006)</f>
        <v>1.2687930069376517E-2</v>
      </c>
      <c r="U61" s="204">
        <f>GETPIVOTDATA("dato",'[1]evolucion mensual nacionali'!$A$4,"indicador","USA","mes",10,"año",2006)/GETPIVOTDATA("dato",'[1]evolucion mensual nacionali'!$A$4,"indicador","TOTAL","mes",10,"año",2006)</f>
        <v>1.7527889133274153E-3</v>
      </c>
      <c r="V61" s="204">
        <f>GETPIVOTDATA("dato",'[1]evolucion mensual nacionali'!$A$4,"indicador","RESTO DE AMÉRICA","mes",10,"año",2006)/GETPIVOTDATA("dato",'[1]evolucion mensual nacionali'!$A$4,"indicador","TOTAL","mes",10,"año",2006)</f>
        <v>6.3891982969676751E-4</v>
      </c>
      <c r="W61" s="204">
        <f>GETPIVOTDATA("dato",'[1]evolucion mensual nacionali'!$A$4,"indicador","RESTO DEL MUNDO","mes",10,"año",2006)/GETPIVOTDATA("dato",'[1]evolucion mensual nacionali'!$A$4,"indicador","TOTAL","mes",10,"año",2006)</f>
        <v>5.5297663136587493E-3</v>
      </c>
      <c r="X61" s="204">
        <f>(GETPIVOTDATA("dato",'[1]evolucion mensual nacionali'!$A$4,"indicador","TOTAL","mes",10,"año",2006)-GETPIVOTDATA("dato",'[1]evolucion mensual nacionali'!$A$4,"indicador","España","mes",10,"año",2006))/GETPIVOTDATA("dato",'[1]evolucion mensual nacionali'!$A$4,"indicador","TOTAL","mes",10,"año",2006)</f>
        <v>0.83824585408880425</v>
      </c>
      <c r="Y61" s="206">
        <f>GETPIVOTDATA("dato",'[1]evolucion mensual nacionali'!$A$4,"indicador","TOTAL","mes",10,"año",2006)/GETPIVOTDATA("dato",'[1]evolucion mensual nacionali'!$A$4,"indicador","TOTAL","mes",10,"año",2006)</f>
        <v>1</v>
      </c>
    </row>
    <row r="62" spans="2:25" hidden="1" outlineLevel="1">
      <c r="B62" s="51" t="s">
        <v>40</v>
      </c>
      <c r="C62" s="204">
        <f>GETPIVOTDATA("dato",'[1]evolucion mensual nacionali'!$A$4,"indicador","España","mes",9,"año",2006)/GETPIVOTDATA("dato",'[1]evolucion mensual nacionali'!$A$4,"indicador","TOTAL","mes",9,"año",2006)</f>
        <v>0.25263994133463702</v>
      </c>
      <c r="D62" s="204">
        <f>GETPIVOTDATA("dato",'[1]evolucion mensual nacionali'!$A$4,"indicador","HOLANDA","mes",9,"año",2006)/GETPIVOTDATA("dato",'[1]evolucion mensual nacionali'!$A$4,"indicador","TOTAL","mes",9,"año",2006)</f>
        <v>3.038988022488389E-2</v>
      </c>
      <c r="E62" s="204">
        <f>GETPIVOTDATA("dato",'[1]evolucion mensual nacionali'!$A$4,"indicador","BÉLGICA","mes",9,"año",2006)/GETPIVOTDATA("dato",'[1]evolucion mensual nacionali'!$A$4,"indicador","TOTAL","mes",9,"año",2006)</f>
        <v>2.8599364458567589E-2</v>
      </c>
      <c r="F62" s="204">
        <f>GETPIVOTDATA("dato",'[1]evolucion mensual nacionali'!$A$4,"indicador","ALEMANIA","mes",9,"año",2006)/GETPIVOTDATA("dato",'[1]evolucion mensual nacionali'!$A$4,"indicador","TOTAL","mes",9,"año",2006)</f>
        <v>0.14517232950378881</v>
      </c>
      <c r="G62" s="204">
        <f>GETPIVOTDATA("dato",'[1]evolucion mensual nacionali'!$A$4,"indicador","FRANCIA","mes",9,"año",2006)/GETPIVOTDATA("dato",'[1]evolucion mensual nacionali'!$A$4,"indicador","TOTAL","mes",9,"año",2006)</f>
        <v>1.3126374969445123E-2</v>
      </c>
      <c r="H62" s="204">
        <f>GETPIVOTDATA("dato",'[1]evolucion mensual nacionali'!$A$4,"indicador","REINO UNIDO","mes",9,"año",2006)/GETPIVOTDATA("dato",'[1]evolucion mensual nacionali'!$A$4,"indicador","TOTAL","mes",9,"año",2006)</f>
        <v>0.39984722561720848</v>
      </c>
      <c r="I62" s="204">
        <f>GETPIVOTDATA("dato",'[1]evolucion mensual nacionali'!$A$4,"indicador","IRLANDA","mes",9,"año",2006)/GETPIVOTDATA("dato",'[1]evolucion mensual nacionali'!$A$4,"indicador","TOTAL","mes",9,"año",2006)</f>
        <v>8.6592520166218524E-3</v>
      </c>
      <c r="J62" s="204">
        <f>GETPIVOTDATA("dato",'[1]evolucion mensual nacionali'!$A$4,"indicador","ITALIA","mes",9,"año",2006)/GETPIVOTDATA("dato",'[1]evolucion mensual nacionali'!$A$4,"indicador","TOTAL","mes",9,"año",2006)</f>
        <v>2.245172329503789E-2</v>
      </c>
      <c r="K62" s="204">
        <f>(GETPIVOTDATA("dato",'[1]evolucion mensual nacionali'!$A$4,"indicador","SUECIA","mes",9,"año",2006)+GETPIVOTDATA("dato",'[1]evolucion mensual nacionali'!$A$4,"indicador","NORUEGA","mes",9,"año",2006)+GETPIVOTDATA("dato",'[1]evolucion mensual nacionali'!$A$4,"indicador","DINAMARCA","mes",9,"año",2006)+GETPIVOTDATA("dato",'[1]evolucion mensual nacionali'!$A$4,"indicador","FINLANDIA","mes",9,"año",2006))/GETPIVOTDATA("dato",'[1]evolucion mensual nacionali'!$A$4,"indicador","TOTAL","mes",9,"año",2006)</f>
        <v>1.0468100708873137E-2</v>
      </c>
      <c r="L62" s="204">
        <f>GETPIVOTDATA("dato",'[1]evolucion mensual nacionali'!$A$4,"indicador","SUECIA","mes",9,"año",2006)/GETPIVOTDATA("dato",'[1]evolucion mensual nacionali'!$A$4,"indicador","TOTAL","mes",9,"año",2006)</f>
        <v>2.3160596431190416E-3</v>
      </c>
      <c r="M62" s="204">
        <f>GETPIVOTDATA("dato",'[1]evolucion mensual nacionali'!$A$4,"indicador","NORUEGA","mes",9,"año",2006)/GETPIVOTDATA("dato",'[1]evolucion mensual nacionali'!$A$4,"indicador","TOTAL","mes",9,"año",2006)</f>
        <v>2.5238328037154728E-3</v>
      </c>
      <c r="N62" s="204">
        <f>GETPIVOTDATA("dato",'[1]evolucion mensual nacionali'!$A$4,"indicador","DINAMARCA","mes",9,"año",2006)/GETPIVOTDATA("dato",'[1]evolucion mensual nacionali'!$A$4,"indicador","TOTAL","mes",9,"año",2006)</f>
        <v>4.4426790515766316E-3</v>
      </c>
      <c r="O62" s="204">
        <f>GETPIVOTDATA("dato",'[1]evolucion mensual nacionali'!$A$4,"indicador","FINLANDIA","mes",9,"año",2006)/GETPIVOTDATA("dato",'[1]evolucion mensual nacionali'!$A$4,"indicador","TOTAL","mes",9,"año",2006)</f>
        <v>1.1855292104619897E-3</v>
      </c>
      <c r="P62" s="204">
        <f>GETPIVOTDATA("dato",'[1]evolucion mensual nacionali'!$A$4,"indicador","SUIZA","mes",9,"año",2006)/GETPIVOTDATA("dato",'[1]evolucion mensual nacionali'!$A$4,"indicador","TOTAL","mes",9,"año",2006)</f>
        <v>6.8198484478122707E-3</v>
      </c>
      <c r="Q62" s="204">
        <f>GETPIVOTDATA("dato",'[1]evolucion mensual nacionali'!$A$4,"indicador","AUSTRIA","mes",9,"año",2006)/GETPIVOTDATA("dato",'[1]evolucion mensual nacionali'!$A$4,"indicador","TOTAL","mes",9,"año",2006)</f>
        <v>6.2393057932045954E-3</v>
      </c>
      <c r="R62" s="204">
        <f>GETPIVOTDATA("dato",'[1]evolucion mensual nacionali'!$A$4,"indicador","RUSIA","mes",9,"año",2006)/GETPIVOTDATA("dato",'[1]evolucion mensual nacionali'!$A$4,"indicador","TOTAL","mes",9,"año",2006)</f>
        <v>2.6576631630408212E-2</v>
      </c>
      <c r="S62" s="204">
        <f>GETPIVOTDATA("dato",'[1]evolucion mensual nacionali'!$A$4,"indicador","PAÍSES DEL ESTE","mes",9,"año",2006)/GETPIVOTDATA("dato",'[1]evolucion mensual nacionali'!$A$4,"indicador","TOTAL","mes",9,"año",2006)</f>
        <v>2.2525054998777806E-2</v>
      </c>
      <c r="T62" s="204">
        <f>GETPIVOTDATA("dato",'[1]evolucion mensual nacionali'!$A$4,"indicador","RESTO DE EUROPA","mes",9,"año",2006)/GETPIVOTDATA("dato",'[1]evolucion mensual nacionali'!$A$4,"indicador","TOTAL","mes",9,"año",2006)</f>
        <v>1.7642385724761671E-2</v>
      </c>
      <c r="U62" s="204">
        <f>GETPIVOTDATA("dato",'[1]evolucion mensual nacionali'!$A$4,"indicador","USA","mes",9,"año",2006)/GETPIVOTDATA("dato",'[1]evolucion mensual nacionali'!$A$4,"indicador","TOTAL","mes",9,"año",2006)</f>
        <v>1.6499633341481301E-3</v>
      </c>
      <c r="V62" s="204">
        <f>GETPIVOTDATA("dato",'[1]evolucion mensual nacionali'!$A$4,"indicador","RESTO DE AMÉRICA","mes",9,"año",2006)/GETPIVOTDATA("dato",'[1]evolucion mensual nacionali'!$A$4,"indicador","TOTAL","mes",9,"año",2006)</f>
        <v>1.4238572476167196E-3</v>
      </c>
      <c r="W62" s="204">
        <f>GETPIVOTDATA("dato",'[1]evolucion mensual nacionali'!$A$4,"indicador","RESTO DEL MUNDO","mes",9,"año",2006)/GETPIVOTDATA("dato",'[1]evolucion mensual nacionali'!$A$4,"indicador","TOTAL","mes",9,"año",2006)</f>
        <v>5.7687606942067957E-3</v>
      </c>
      <c r="X62" s="204">
        <f>(GETPIVOTDATA("dato",'[1]evolucion mensual nacionali'!$A$4,"indicador","TOTAL","mes",9,"año",2006)-GETPIVOTDATA("dato",'[1]evolucion mensual nacionali'!$A$4,"indicador","España","mes",9,"año",2006))/GETPIVOTDATA("dato",'[1]evolucion mensual nacionali'!$A$4,"indicador","TOTAL","mes",9,"año",2006)</f>
        <v>0.74736005866536304</v>
      </c>
      <c r="Y62" s="206">
        <f>GETPIVOTDATA("dato",'[1]evolucion mensual nacionali'!$A$4,"indicador","TOTAL","mes",9,"año",2006)/GETPIVOTDATA("dato",'[1]evolucion mensual nacionali'!$A$4,"indicador","TOTAL","mes",9,"año",2006)</f>
        <v>1</v>
      </c>
    </row>
    <row r="63" spans="2:25" hidden="1" outlineLevel="1">
      <c r="B63" s="51" t="s">
        <v>41</v>
      </c>
      <c r="C63" s="204">
        <f>GETPIVOTDATA("dato",'[1]evolucion mensual nacionali'!$A$4,"indicador","España","mes",8,"año",2006)/GETPIVOTDATA("dato",'[1]evolucion mensual nacionali'!$A$4,"indicador","TOTAL","mes",8,"año",2006)</f>
        <v>0.31807281806458693</v>
      </c>
      <c r="D63" s="204">
        <f>GETPIVOTDATA("dato",'[1]evolucion mensual nacionali'!$A$4,"indicador","HOLANDA","mes",8,"año",2006)/GETPIVOTDATA("dato",'[1]evolucion mensual nacionali'!$A$4,"indicador","TOTAL","mes",8,"año",2006)</f>
        <v>2.8704694487886519E-2</v>
      </c>
      <c r="E63" s="204">
        <f>GETPIVOTDATA("dato",'[1]evolucion mensual nacionali'!$A$4,"indicador","BÉLGICA","mes",8,"año",2006)/GETPIVOTDATA("dato",'[1]evolucion mensual nacionali'!$A$4,"indicador","TOTAL","mes",8,"año",2006)</f>
        <v>3.2639174692018547E-2</v>
      </c>
      <c r="F63" s="204">
        <f>GETPIVOTDATA("dato",'[1]evolucion mensual nacionali'!$A$4,"indicador","ALEMANIA","mes",8,"año",2006)/GETPIVOTDATA("dato",'[1]evolucion mensual nacionali'!$A$4,"indicador","TOTAL","mes",8,"año",2006)</f>
        <v>0.11570225258594671</v>
      </c>
      <c r="G63" s="204">
        <f>GETPIVOTDATA("dato",'[1]evolucion mensual nacionali'!$A$4,"indicador","FRANCIA","mes",8,"año",2006)/GETPIVOTDATA("dato",'[1]evolucion mensual nacionali'!$A$4,"indicador","TOTAL","mes",8,"año",2006)</f>
        <v>1.9798611682717369E-2</v>
      </c>
      <c r="H63" s="204">
        <f>GETPIVOTDATA("dato",'[1]evolucion mensual nacionali'!$A$4,"indicador","REINO UNIDO","mes",8,"año",2006)/GETPIVOTDATA("dato",'[1]evolucion mensual nacionali'!$A$4,"indicador","TOTAL","mes",8,"año",2006)</f>
        <v>0.32711608637199219</v>
      </c>
      <c r="I63" s="204">
        <f>GETPIVOTDATA("dato",'[1]evolucion mensual nacionali'!$A$4,"indicador","IRLANDA","mes",8,"año",2006)/GETPIVOTDATA("dato",'[1]evolucion mensual nacionali'!$A$4,"indicador","TOTAL","mes",8,"año",2006)</f>
        <v>7.2927812988723348E-3</v>
      </c>
      <c r="J63" s="204">
        <f>GETPIVOTDATA("dato",'[1]evolucion mensual nacionali'!$A$4,"indicador","ITALIA","mes",8,"año",2006)/GETPIVOTDATA("dato",'[1]evolucion mensual nacionali'!$A$4,"indicador","TOTAL","mes",8,"año",2006)</f>
        <v>5.3831591077454936E-2</v>
      </c>
      <c r="K63" s="204">
        <f>(GETPIVOTDATA("dato",'[1]evolucion mensual nacionali'!$A$4,"indicador","SUECIA","mes",8,"año",2006)+GETPIVOTDATA("dato",'[1]evolucion mensual nacionali'!$A$4,"indicador","NORUEGA","mes",8,"año",2006)+GETPIVOTDATA("dato",'[1]evolucion mensual nacionali'!$A$4,"indicador","DINAMARCA","mes",8,"año",2006)+GETPIVOTDATA("dato",'[1]evolucion mensual nacionali'!$A$4,"indicador","FINLANDIA","mes",8,"año",2006))/GETPIVOTDATA("dato",'[1]evolucion mensual nacionali'!$A$4,"indicador","TOTAL","mes",8,"año",2006)</f>
        <v>9.5042115949186493E-3</v>
      </c>
      <c r="L63" s="204">
        <f>GETPIVOTDATA("dato",'[1]evolucion mensual nacionali'!$A$4,"indicador","SUECIA","mes",8,"año",2006)/GETPIVOTDATA("dato",'[1]evolucion mensual nacionali'!$A$4,"indicador","TOTAL","mes",8,"año",2006)</f>
        <v>2.4364145197135565E-3</v>
      </c>
      <c r="M63" s="204">
        <f>GETPIVOTDATA("dato",'[1]evolucion mensual nacionali'!$A$4,"indicador","NORUEGA","mes",8,"año",2006)/GETPIVOTDATA("dato",'[1]evolucion mensual nacionali'!$A$4,"indicador","TOTAL","mes",8,"año",2006)</f>
        <v>1.5694021455812551E-3</v>
      </c>
      <c r="N63" s="204">
        <f>GETPIVOTDATA("dato",'[1]evolucion mensual nacionali'!$A$4,"indicador","DINAMARCA","mes",8,"año",2006)/GETPIVOTDATA("dato",'[1]evolucion mensual nacionali'!$A$4,"indicador","TOTAL","mes",8,"año",2006)</f>
        <v>5.3941339479243837E-3</v>
      </c>
      <c r="O63" s="204">
        <f>GETPIVOTDATA("dato",'[1]evolucion mensual nacionali'!$A$4,"indicador","FINLANDIA","mes",8,"año",2006)/GETPIVOTDATA("dato",'[1]evolucion mensual nacionali'!$A$4,"indicador","TOTAL","mes",8,"año",2006)</f>
        <v>1.04260981699454E-4</v>
      </c>
      <c r="P63" s="204">
        <f>GETPIVOTDATA("dato",'[1]evolucion mensual nacionali'!$A$4,"indicador","SUIZA","mes",8,"año",2006)/GETPIVOTDATA("dato",'[1]evolucion mensual nacionali'!$A$4,"indicador","TOTAL","mes",8,"año",2006)</f>
        <v>4.5710209345076408E-3</v>
      </c>
      <c r="Q63" s="204">
        <f>GETPIVOTDATA("dato",'[1]evolucion mensual nacionali'!$A$4,"indicador","AUSTRIA","mes",8,"año",2006)/GETPIVOTDATA("dato",'[1]evolucion mensual nacionali'!$A$4,"indicador","TOTAL","mes",8,"año",2006)</f>
        <v>6.3818695640244739E-3</v>
      </c>
      <c r="R63" s="204">
        <f>GETPIVOTDATA("dato",'[1]evolucion mensual nacionali'!$A$4,"indicador","RUSIA","mes",8,"año",2006)/GETPIVOTDATA("dato",'[1]evolucion mensual nacionali'!$A$4,"indicador","TOTAL","mes",8,"año",2006)</f>
        <v>2.1543611271160865E-2</v>
      </c>
      <c r="S63" s="204">
        <f>GETPIVOTDATA("dato",'[1]evolucion mensual nacionali'!$A$4,"indicador","PAÍSES DEL ESTE","mes",8,"año",2006)/GETPIVOTDATA("dato",'[1]evolucion mensual nacionali'!$A$4,"indicador","TOTAL","mes",8,"año",2006)</f>
        <v>1.9738250061733475E-2</v>
      </c>
      <c r="T63" s="204">
        <f>GETPIVOTDATA("dato",'[1]evolucion mensual nacionali'!$A$4,"indicador","RESTO DE EUROPA","mes",8,"año",2006)/GETPIVOTDATA("dato",'[1]evolucion mensual nacionali'!$A$4,"indicador","TOTAL","mes",8,"año",2006)</f>
        <v>2.5659176338244574E-2</v>
      </c>
      <c r="U63" s="204">
        <f>GETPIVOTDATA("dato",'[1]evolucion mensual nacionali'!$A$4,"indicador","USA","mes",8,"año",2006)/GETPIVOTDATA("dato",'[1]evolucion mensual nacionali'!$A$4,"indicador","TOTAL","mes",8,"año",2006)</f>
        <v>1.4541663237029111E-3</v>
      </c>
      <c r="V63" s="204">
        <f>GETPIVOTDATA("dato",'[1]evolucion mensual nacionali'!$A$4,"indicador","RESTO DE AMÉRICA","mes",8,"año",2006)/GETPIVOTDATA("dato",'[1]evolucion mensual nacionali'!$A$4,"indicador","TOTAL","mes",8,"año",2006)</f>
        <v>3.1717288116991796E-3</v>
      </c>
      <c r="W63" s="204">
        <f>GETPIVOTDATA("dato",'[1]evolucion mensual nacionali'!$A$4,"indicador","RESTO DEL MUNDO","mes",8,"año",2006)/GETPIVOTDATA("dato",'[1]evolucion mensual nacionali'!$A$4,"indicador","TOTAL","mes",8,"año",2006)</f>
        <v>4.8179548385326636E-3</v>
      </c>
      <c r="X63" s="204">
        <f>(GETPIVOTDATA("dato",'[1]evolucion mensual nacionali'!$A$4,"indicador","TOTAL","mes",8,"año",2006)-GETPIVOTDATA("dato",'[1]evolucion mensual nacionali'!$A$4,"indicador","España","mes",8,"año",2006))/GETPIVOTDATA("dato",'[1]evolucion mensual nacionali'!$A$4,"indicador","TOTAL","mes",8,"año",2006)</f>
        <v>0.68192718193541302</v>
      </c>
      <c r="Y63" s="206">
        <f>GETPIVOTDATA("dato",'[1]evolucion mensual nacionali'!$A$4,"indicador","TOTAL","mes",8,"año",2006)/GETPIVOTDATA("dato",'[1]evolucion mensual nacionali'!$A$4,"indicador","TOTAL","mes",8,"año",2006)</f>
        <v>1</v>
      </c>
    </row>
    <row r="64" spans="2:25" hidden="1" outlineLevel="1">
      <c r="B64" s="51" t="s">
        <v>42</v>
      </c>
      <c r="C64" s="204">
        <f>GETPIVOTDATA("dato",'[1]evolucion mensual nacionali'!$A$4,"indicador","España","mes",7,"año",2006)/GETPIVOTDATA("dato",'[1]evolucion mensual nacionali'!$A$4,"indicador","TOTAL","mes",7,"año",2006)</f>
        <v>0.27200971463266543</v>
      </c>
      <c r="D64" s="204">
        <f>GETPIVOTDATA("dato",'[1]evolucion mensual nacionali'!$A$4,"indicador","HOLANDA","mes",7,"año",2006)/GETPIVOTDATA("dato",'[1]evolucion mensual nacionali'!$A$4,"indicador","TOTAL","mes",7,"año",2006)</f>
        <v>4.7626700953605487E-2</v>
      </c>
      <c r="E64" s="204">
        <f>GETPIVOTDATA("dato",'[1]evolucion mensual nacionali'!$A$4,"indicador","BÉLGICA","mes",7,"año",2006)/GETPIVOTDATA("dato",'[1]evolucion mensual nacionali'!$A$4,"indicador","TOTAL","mes",7,"año",2006)</f>
        <v>4.1894353369763208E-2</v>
      </c>
      <c r="F64" s="204">
        <f>GETPIVOTDATA("dato",'[1]evolucion mensual nacionali'!$A$4,"indicador","ALEMANIA","mes",7,"año",2006)/GETPIVOTDATA("dato",'[1]evolucion mensual nacionali'!$A$4,"indicador","TOTAL","mes",7,"año",2006)</f>
        <v>0.11872447825517578</v>
      </c>
      <c r="G64" s="204">
        <f>GETPIVOTDATA("dato",'[1]evolucion mensual nacionali'!$A$4,"indicador","FRANCIA","mes",7,"año",2006)/GETPIVOTDATA("dato",'[1]evolucion mensual nacionali'!$A$4,"indicador","TOTAL","mes",7,"año",2006)</f>
        <v>1.8214936247723135E-2</v>
      </c>
      <c r="H64" s="204">
        <f>GETPIVOTDATA("dato",'[1]evolucion mensual nacionali'!$A$4,"indicador","REINO UNIDO","mes",7,"año",2006)/GETPIVOTDATA("dato",'[1]evolucion mensual nacionali'!$A$4,"indicador","TOTAL","mes",7,"año",2006)</f>
        <v>0.35239949045799257</v>
      </c>
      <c r="I64" s="204">
        <f>GETPIVOTDATA("dato",'[1]evolucion mensual nacionali'!$A$4,"indicador","IRLANDA","mes",7,"año",2006)/GETPIVOTDATA("dato",'[1]evolucion mensual nacionali'!$A$4,"indicador","TOTAL","mes",7,"año",2006)</f>
        <v>1.0696810600378585E-2</v>
      </c>
      <c r="J64" s="204">
        <f>GETPIVOTDATA("dato",'[1]evolucion mensual nacionali'!$A$4,"indicador","ITALIA","mes",7,"año",2006)/GETPIVOTDATA("dato",'[1]evolucion mensual nacionali'!$A$4,"indicador","TOTAL","mes",7,"año",2006)</f>
        <v>3.0905865685679251E-2</v>
      </c>
      <c r="K64" s="204">
        <f>(GETPIVOTDATA("dato",'[1]evolucion mensual nacionali'!$A$4,"indicador","SUECIA","mes",7,"año",2006)+GETPIVOTDATA("dato",'[1]evolucion mensual nacionali'!$A$4,"indicador","NORUEGA","mes",7,"año",2006)+GETPIVOTDATA("dato",'[1]evolucion mensual nacionali'!$A$4,"indicador","DINAMARCA","mes",7,"año",2006)+GETPIVOTDATA("dato",'[1]evolucion mensual nacionali'!$A$4,"indicador","FINLANDIA","mes",7,"año",2006))/GETPIVOTDATA("dato",'[1]evolucion mensual nacionali'!$A$4,"indicador","TOTAL","mes",7,"año",2006)</f>
        <v>1.0673000226198555E-2</v>
      </c>
      <c r="L64" s="204">
        <f>GETPIVOTDATA("dato",'[1]evolucion mensual nacionali'!$A$4,"indicador","SUECIA","mes",7,"año",2006)/GETPIVOTDATA("dato",'[1]evolucion mensual nacionali'!$A$4,"indicador","TOTAL","mes",7,"año",2006)</f>
        <v>2.1012655213876684E-3</v>
      </c>
      <c r="M64" s="204">
        <f>GETPIVOTDATA("dato",'[1]evolucion mensual nacionali'!$A$4,"indicador","NORUEGA","mes",7,"año",2006)/GETPIVOTDATA("dato",'[1]evolucion mensual nacionali'!$A$4,"indicador","TOTAL","mes",7,"año",2006)</f>
        <v>2.3988951986380464E-3</v>
      </c>
      <c r="N64" s="204">
        <f>GETPIVOTDATA("dato",'[1]evolucion mensual nacionali'!$A$4,"indicador","DINAMARCA","mes",7,"año",2006)/GETPIVOTDATA("dato",'[1]evolucion mensual nacionali'!$A$4,"indicador","TOTAL","mes",7,"año",2006)</f>
        <v>5.2739978808766979E-3</v>
      </c>
      <c r="O64" s="204">
        <f>GETPIVOTDATA("dato",'[1]evolucion mensual nacionali'!$A$4,"indicador","FINLANDIA","mes",7,"año",2006)/GETPIVOTDATA("dato",'[1]evolucion mensual nacionali'!$A$4,"indicador","TOTAL","mes",7,"año",2006)</f>
        <v>8.9884162529614152E-4</v>
      </c>
      <c r="P64" s="204">
        <f>GETPIVOTDATA("dato",'[1]evolucion mensual nacionali'!$A$4,"indicador","SUIZA","mes",7,"año",2006)/GETPIVOTDATA("dato",'[1]evolucion mensual nacionali'!$A$4,"indicador","TOTAL","mes",7,"año",2006)</f>
        <v>7.8157553245949262E-3</v>
      </c>
      <c r="Q64" s="204">
        <f>GETPIVOTDATA("dato",'[1]evolucion mensual nacionali'!$A$4,"indicador","AUSTRIA","mes",7,"año",2006)/GETPIVOTDATA("dato",'[1]evolucion mensual nacionali'!$A$4,"indicador","TOTAL","mes",7,"año",2006)</f>
        <v>8.0717168470302511E-3</v>
      </c>
      <c r="R64" s="204">
        <f>GETPIVOTDATA("dato",'[1]evolucion mensual nacionali'!$A$4,"indicador","RUSIA","mes",7,"año",2006)/GETPIVOTDATA("dato",'[1]evolucion mensual nacionali'!$A$4,"indicador","TOTAL","mes",7,"año",2006)</f>
        <v>2.0655499601176231E-2</v>
      </c>
      <c r="S64" s="204">
        <f>GETPIVOTDATA("dato",'[1]evolucion mensual nacionali'!$A$4,"indicador","PAÍSES DEL ESTE","mes",7,"año",2006)/GETPIVOTDATA("dato",'[1]evolucion mensual nacionali'!$A$4,"indicador","TOTAL","mes",7,"año",2006)</f>
        <v>2.1816255342452708E-2</v>
      </c>
      <c r="T64" s="204">
        <f>GETPIVOTDATA("dato",'[1]evolucion mensual nacionali'!$A$4,"indicador","RESTO DE EUROPA","mes",7,"año",2006)/GETPIVOTDATA("dato",'[1]evolucion mensual nacionali'!$A$4,"indicador","TOTAL","mes",7,"año",2006)</f>
        <v>2.5667583366072597E-2</v>
      </c>
      <c r="U64" s="204">
        <f>GETPIVOTDATA("dato",'[1]evolucion mensual nacionali'!$A$4,"indicador","USA","mes",7,"año",2006)/GETPIVOTDATA("dato",'[1]evolucion mensual nacionali'!$A$4,"indicador","TOTAL","mes",7,"año",2006)</f>
        <v>2.9762967725037799E-3</v>
      </c>
      <c r="V64" s="204">
        <f>GETPIVOTDATA("dato",'[1]evolucion mensual nacionali'!$A$4,"indicador","RESTO DE AMÉRICA","mes",7,"año",2006)/GETPIVOTDATA("dato",'[1]evolucion mensual nacionali'!$A$4,"indicador","TOTAL","mes",7,"año",2006)</f>
        <v>2.0595973665726158E-3</v>
      </c>
      <c r="W64" s="204">
        <f>GETPIVOTDATA("dato",'[1]evolucion mensual nacionali'!$A$4,"indicador","RESTO DEL MUNDO","mes",7,"año",2006)/GETPIVOTDATA("dato",'[1]evolucion mensual nacionali'!$A$4,"indicador","TOTAL","mes",7,"año",2006)</f>
        <v>7.7919449504148955E-3</v>
      </c>
      <c r="X64" s="204">
        <f>(GETPIVOTDATA("dato",'[1]evolucion mensual nacionali'!$A$4,"indicador","TOTAL","mes",7,"año",2006)-GETPIVOTDATA("dato",'[1]evolucion mensual nacionali'!$A$4,"indicador","España","mes",7,"año",2006))/GETPIVOTDATA("dato",'[1]evolucion mensual nacionali'!$A$4,"indicador","TOTAL","mes",7,"año",2006)</f>
        <v>0.72799028536733457</v>
      </c>
      <c r="Y64" s="206">
        <f>GETPIVOTDATA("dato",'[1]evolucion mensual nacionali'!$A$4,"indicador","TOTAL","mes",7,"año",2006)/GETPIVOTDATA("dato",'[1]evolucion mensual nacionali'!$A$4,"indicador","TOTAL","mes",7,"año",2006)</f>
        <v>1</v>
      </c>
    </row>
    <row r="65" spans="2:25" hidden="1" outlineLevel="1">
      <c r="B65" s="51" t="s">
        <v>43</v>
      </c>
      <c r="C65" s="204">
        <f>GETPIVOTDATA("dato",'[1]evolucion mensual nacionali'!$A$4,"indicador","España","mes",6,"año",2006)/GETPIVOTDATA("dato",'[1]evolucion mensual nacionali'!$A$4,"indicador","TOTAL","mes",6,"año",2006)</f>
        <v>0.22869797804584155</v>
      </c>
      <c r="D65" s="204">
        <f>GETPIVOTDATA("dato",'[1]evolucion mensual nacionali'!$A$4,"indicador","HOLANDA","mes",6,"año",2006)/GETPIVOTDATA("dato",'[1]evolucion mensual nacionali'!$A$4,"indicador","TOTAL","mes",6,"año",2006)</f>
        <v>2.9879106473696057E-2</v>
      </c>
      <c r="E65" s="204">
        <f>GETPIVOTDATA("dato",'[1]evolucion mensual nacionali'!$A$4,"indicador","BÉLGICA","mes",6,"año",2006)/GETPIVOTDATA("dato",'[1]evolucion mensual nacionali'!$A$4,"indicador","TOTAL","mes",6,"año",2006)</f>
        <v>2.8104765561896693E-2</v>
      </c>
      <c r="F65" s="204">
        <f>GETPIVOTDATA("dato",'[1]evolucion mensual nacionali'!$A$4,"indicador","ALEMANIA","mes",6,"año",2006)/GETPIVOTDATA("dato",'[1]evolucion mensual nacionali'!$A$4,"indicador","TOTAL","mes",6,"año",2006)</f>
        <v>0.14195389361899338</v>
      </c>
      <c r="G65" s="204">
        <f>GETPIVOTDATA("dato",'[1]evolucion mensual nacionali'!$A$4,"indicador","FRANCIA","mes",6,"año",2006)/GETPIVOTDATA("dato",'[1]evolucion mensual nacionali'!$A$4,"indicador","TOTAL","mes",6,"año",2006)</f>
        <v>1.2102593980482249E-2</v>
      </c>
      <c r="H65" s="204">
        <f>GETPIVOTDATA("dato",'[1]evolucion mensual nacionali'!$A$4,"indicador","REINO UNIDO","mes",6,"año",2006)/GETPIVOTDATA("dato",'[1]evolucion mensual nacionali'!$A$4,"indicador","TOTAL","mes",6,"año",2006)</f>
        <v>0.42334582434024975</v>
      </c>
      <c r="I65" s="204">
        <f>GETPIVOTDATA("dato",'[1]evolucion mensual nacionali'!$A$4,"indicador","IRLANDA","mes",6,"año",2006)/GETPIVOTDATA("dato",'[1]evolucion mensual nacionali'!$A$4,"indicador","TOTAL","mes",6,"año",2006)</f>
        <v>9.8052197402047105E-3</v>
      </c>
      <c r="J65" s="204">
        <f>GETPIVOTDATA("dato",'[1]evolucion mensual nacionali'!$A$4,"indicador","ITALIA","mes",6,"año",2006)/GETPIVOTDATA("dato",'[1]evolucion mensual nacionali'!$A$4,"indicador","TOTAL","mes",6,"año",2006)</f>
        <v>2.3933740284159372E-2</v>
      </c>
      <c r="K65" s="204">
        <f>(GETPIVOTDATA("dato",'[1]evolucion mensual nacionali'!$A$4,"indicador","SUECIA","mes",6,"año",2006)+GETPIVOTDATA("dato",'[1]evolucion mensual nacionali'!$A$4,"indicador","NORUEGA","mes",6,"año",2006)+GETPIVOTDATA("dato",'[1]evolucion mensual nacionali'!$A$4,"indicador","DINAMARCA","mes",6,"año",2006)+GETPIVOTDATA("dato",'[1]evolucion mensual nacionali'!$A$4,"indicador","FINLANDIA","mes",6,"año",2006))/GETPIVOTDATA("dato",'[1]evolucion mensual nacionali'!$A$4,"indicador","TOTAL","mes",6,"año",2006)</f>
        <v>7.4946041498391179E-3</v>
      </c>
      <c r="L65" s="204">
        <f>GETPIVOTDATA("dato",'[1]evolucion mensual nacionali'!$A$4,"indicador","SUECIA","mes",6,"año",2006)/GETPIVOTDATA("dato",'[1]evolucion mensual nacionali'!$A$4,"indicador","TOTAL","mes",6,"año",2006)</f>
        <v>6.8192952953483141E-4</v>
      </c>
      <c r="M65" s="204">
        <f>GETPIVOTDATA("dato",'[1]evolucion mensual nacionali'!$A$4,"indicador","NORUEGA","mes",6,"año",2006)/GETPIVOTDATA("dato",'[1]evolucion mensual nacionali'!$A$4,"indicador","TOTAL","mes",6,"año",2006)</f>
        <v>2.9793037698123699E-4</v>
      </c>
      <c r="N65" s="204">
        <f>GETPIVOTDATA("dato",'[1]evolucion mensual nacionali'!$A$4,"indicador","DINAMARCA","mes",6,"año",2006)/GETPIVOTDATA("dato",'[1]evolucion mensual nacionali'!$A$4,"indicador","TOTAL","mes",6,"año",2006)</f>
        <v>4.4159902543663351E-3</v>
      </c>
      <c r="O65" s="204">
        <f>GETPIVOTDATA("dato",'[1]evolucion mensual nacionali'!$A$4,"indicador","FINLANDIA","mes",6,"año",2006)/GETPIVOTDATA("dato",'[1]evolucion mensual nacionali'!$A$4,"indicador","TOTAL","mes",6,"año",2006)</f>
        <v>2.0987539889567139E-3</v>
      </c>
      <c r="P65" s="204">
        <f>GETPIVOTDATA("dato",'[1]evolucion mensual nacionali'!$A$4,"indicador","SUIZA","mes",6,"año",2006)/GETPIVOTDATA("dato",'[1]evolucion mensual nacionali'!$A$4,"indicador","TOTAL","mes",6,"año",2006)</f>
        <v>5.1972299095615791E-3</v>
      </c>
      <c r="Q65" s="204">
        <f>GETPIVOTDATA("dato",'[1]evolucion mensual nacionali'!$A$4,"indicador","AUSTRIA","mes",6,"año",2006)/GETPIVOTDATA("dato",'[1]evolucion mensual nacionali'!$A$4,"indicador","TOTAL","mes",6,"año",2006)</f>
        <v>6.8325366454363686E-3</v>
      </c>
      <c r="R65" s="204">
        <f>GETPIVOTDATA("dato",'[1]evolucion mensual nacionali'!$A$4,"indicador","RUSIA","mes",6,"año",2006)/GETPIVOTDATA("dato",'[1]evolucion mensual nacionali'!$A$4,"indicador","TOTAL","mes",6,"año",2006)</f>
        <v>2.8197455012513077E-2</v>
      </c>
      <c r="S65" s="204">
        <f>GETPIVOTDATA("dato",'[1]evolucion mensual nacionali'!$A$4,"indicador","PAÍSES DEL ESTE","mes",6,"año",2006)/GETPIVOTDATA("dato",'[1]evolucion mensual nacionali'!$A$4,"indicador","TOTAL","mes",6,"año",2006)</f>
        <v>2.1715814144410164E-2</v>
      </c>
      <c r="T65" s="204">
        <f>GETPIVOTDATA("dato",'[1]evolucion mensual nacionali'!$A$4,"indicador","RESTO DE EUROPA","mes",6,"año",2006)/GETPIVOTDATA("dato",'[1]evolucion mensual nacionali'!$A$4,"indicador","TOTAL","mes",6,"año",2006)</f>
        <v>1.8160511645767402E-2</v>
      </c>
      <c r="U65" s="204">
        <f>GETPIVOTDATA("dato",'[1]evolucion mensual nacionali'!$A$4,"indicador","USA","mes",6,"año",2006)/GETPIVOTDATA("dato",'[1]evolucion mensual nacionali'!$A$4,"indicador","TOTAL","mes",6,"año",2006)</f>
        <v>3.5817851988188716E-3</v>
      </c>
      <c r="V65" s="204">
        <f>GETPIVOTDATA("dato",'[1]evolucion mensual nacionali'!$A$4,"indicador","RESTO DE AMÉRICA","mes",6,"año",2006)/GETPIVOTDATA("dato",'[1]evolucion mensual nacionali'!$A$4,"indicador","TOTAL","mes",6,"año",2006)</f>
        <v>1.1586181327048106E-3</v>
      </c>
      <c r="W65" s="204">
        <f>GETPIVOTDATA("dato",'[1]evolucion mensual nacionali'!$A$4,"indicador","RESTO DEL MUNDO","mes",6,"año",2006)/GETPIVOTDATA("dato",'[1]evolucion mensual nacionali'!$A$4,"indicador","TOTAL","mes",6,"año",2006)</f>
        <v>9.838323115424848E-3</v>
      </c>
      <c r="X65" s="204">
        <f>(GETPIVOTDATA("dato",'[1]evolucion mensual nacionali'!$A$4,"indicador","TOTAL","mes",6,"año",2006)-GETPIVOTDATA("dato",'[1]evolucion mensual nacionali'!$A$4,"indicador","España","mes",6,"año",2006))/GETPIVOTDATA("dato",'[1]evolucion mensual nacionali'!$A$4,"indicador","TOTAL","mes",6,"año",2006)</f>
        <v>0.77130202195415842</v>
      </c>
      <c r="Y65" s="206">
        <f>GETPIVOTDATA("dato",'[1]evolucion mensual nacionali'!$A$4,"indicador","TOTAL","mes",6,"año",2006)/GETPIVOTDATA("dato",'[1]evolucion mensual nacionali'!$A$4,"indicador","TOTAL","mes",6,"año",2006)</f>
        <v>1</v>
      </c>
    </row>
    <row r="66" spans="2:25" hidden="1" outlineLevel="1">
      <c r="B66" s="51" t="s">
        <v>44</v>
      </c>
      <c r="C66" s="204">
        <f>GETPIVOTDATA("dato",'[1]evolucion mensual nacionali'!$A$4,"indicador","España","mes",5,"año",2006)/GETPIVOTDATA("dato",'[1]evolucion mensual nacionali'!$A$4,"indicador","TOTAL","mes",5,"año",2006)</f>
        <v>0.22368082951677021</v>
      </c>
      <c r="D66" s="204">
        <f>GETPIVOTDATA("dato",'[1]evolucion mensual nacionali'!$A$4,"indicador","HOLANDA","mes",5,"año",2006)/GETPIVOTDATA("dato",'[1]evolucion mensual nacionali'!$A$4,"indicador","TOTAL","mes",5,"año",2006)</f>
        <v>4.7756163182635772E-2</v>
      </c>
      <c r="E66" s="204">
        <f>GETPIVOTDATA("dato",'[1]evolucion mensual nacionali'!$A$4,"indicador","BÉLGICA","mes",5,"año",2006)/GETPIVOTDATA("dato",'[1]evolucion mensual nacionali'!$A$4,"indicador","TOTAL","mes",5,"año",2006)</f>
        <v>3.0124397285327772E-2</v>
      </c>
      <c r="F66" s="204">
        <f>GETPIVOTDATA("dato",'[1]evolucion mensual nacionali'!$A$4,"indicador","ALEMANIA","mes",5,"año",2006)/GETPIVOTDATA("dato",'[1]evolucion mensual nacionali'!$A$4,"indicador","TOTAL","mes",5,"año",2006)</f>
        <v>0.14572469354131712</v>
      </c>
      <c r="G66" s="204">
        <f>GETPIVOTDATA("dato",'[1]evolucion mensual nacionali'!$A$4,"indicador","FRANCIA","mes",5,"año",2006)/GETPIVOTDATA("dato",'[1]evolucion mensual nacionali'!$A$4,"indicador","TOTAL","mes",5,"año",2006)</f>
        <v>2.2181411448177875E-2</v>
      </c>
      <c r="H66" s="204">
        <f>GETPIVOTDATA("dato",'[1]evolucion mensual nacionali'!$A$4,"indicador","REINO UNIDO","mes",5,"año",2006)/GETPIVOTDATA("dato",'[1]evolucion mensual nacionali'!$A$4,"indicador","TOTAL","mes",5,"año",2006)</f>
        <v>0.41240042926888254</v>
      </c>
      <c r="I66" s="204">
        <f>GETPIVOTDATA("dato",'[1]evolucion mensual nacionali'!$A$4,"indicador","IRLANDA","mes",5,"año",2006)/GETPIVOTDATA("dato",'[1]evolucion mensual nacionali'!$A$4,"indicador","TOTAL","mes",5,"año",2006)</f>
        <v>9.9306216841246082E-3</v>
      </c>
      <c r="J66" s="204">
        <f>GETPIVOTDATA("dato",'[1]evolucion mensual nacionali'!$A$4,"indicador","ITALIA","mes",5,"año",2006)/GETPIVOTDATA("dato",'[1]evolucion mensual nacionali'!$A$4,"indicador","TOTAL","mes",5,"año",2006)</f>
        <v>2.7479254523194122E-2</v>
      </c>
      <c r="K66" s="204">
        <f>(GETPIVOTDATA("dato",'[1]evolucion mensual nacionali'!$A$4,"indicador","SUECIA","mes",5,"año",2006)+GETPIVOTDATA("dato",'[1]evolucion mensual nacionali'!$A$4,"indicador","NORUEGA","mes",5,"año",2006)+GETPIVOTDATA("dato",'[1]evolucion mensual nacionali'!$A$4,"indicador","DINAMARCA","mes",5,"año",2006)+GETPIVOTDATA("dato",'[1]evolucion mensual nacionali'!$A$4,"indicador","FINLANDIA","mes",5,"año",2006))/GETPIVOTDATA("dato",'[1]evolucion mensual nacionali'!$A$4,"indicador","TOTAL","mes",5,"año",2006)</f>
        <v>8.9859278405054494E-3</v>
      </c>
      <c r="L66" s="204">
        <f>GETPIVOTDATA("dato",'[1]evolucion mensual nacionali'!$A$4,"indicador","SUECIA","mes",5,"año",2006)/GETPIVOTDATA("dato",'[1]evolucion mensual nacionali'!$A$4,"indicador","TOTAL","mes",5,"año",2006)</f>
        <v>5.0635590017986966E-4</v>
      </c>
      <c r="M66" s="204">
        <f>GETPIVOTDATA("dato",'[1]evolucion mensual nacionali'!$A$4,"indicador","NORUEGA","mes",5,"año",2006)/GETPIVOTDATA("dato",'[1]evolucion mensual nacionali'!$A$4,"indicador","TOTAL","mes",5,"año",2006)</f>
        <v>1.9649631947278527E-4</v>
      </c>
      <c r="N66" s="204">
        <f>GETPIVOTDATA("dato",'[1]evolucion mensual nacionali'!$A$4,"indicador","DINAMARCA","mes",5,"año",2006)/GETPIVOTDATA("dato",'[1]evolucion mensual nacionali'!$A$4,"indicador","TOTAL","mes",5,"año",2006)</f>
        <v>6.1745189618948289E-3</v>
      </c>
      <c r="O66" s="204">
        <f>GETPIVOTDATA("dato",'[1]evolucion mensual nacionali'!$A$4,"indicador","FINLANDIA","mes",5,"año",2006)/GETPIVOTDATA("dato",'[1]evolucion mensual nacionali'!$A$4,"indicador","TOTAL","mes",5,"año",2006)</f>
        <v>2.1085566589579647E-3</v>
      </c>
      <c r="P66" s="204">
        <f>GETPIVOTDATA("dato",'[1]evolucion mensual nacionali'!$A$4,"indicador","SUIZA","mes",5,"año",2006)/GETPIVOTDATA("dato",'[1]evolucion mensual nacionali'!$A$4,"indicador","TOTAL","mes",5,"año",2006)</f>
        <v>6.0233679469157636E-3</v>
      </c>
      <c r="Q66" s="204">
        <f>GETPIVOTDATA("dato",'[1]evolucion mensual nacionali'!$A$4,"indicador","AUSTRIA","mes",5,"año",2006)/GETPIVOTDATA("dato",'[1]evolucion mensual nacionali'!$A$4,"indicador","TOTAL","mes",5,"año",2006)</f>
        <v>6.9907344427817836E-3</v>
      </c>
      <c r="R66" s="204">
        <f>GETPIVOTDATA("dato",'[1]evolucion mensual nacionali'!$A$4,"indicador","RUSIA","mes",5,"año",2006)/GETPIVOTDATA("dato",'[1]evolucion mensual nacionali'!$A$4,"indicador","TOTAL","mes",5,"año",2006)</f>
        <v>2.5574751734457897E-2</v>
      </c>
      <c r="S66" s="204">
        <f>GETPIVOTDATA("dato",'[1]evolucion mensual nacionali'!$A$4,"indicador","PAÍSES DEL ESTE","mes",5,"año",2006)/GETPIVOTDATA("dato",'[1]evolucion mensual nacionali'!$A$4,"indicador","TOTAL","mes",5,"año",2006)</f>
        <v>1.1396786529421546E-2</v>
      </c>
      <c r="T66" s="204">
        <f>GETPIVOTDATA("dato",'[1]evolucion mensual nacionali'!$A$4,"indicador","RESTO DE EUROPA","mes",5,"año",2006)/GETPIVOTDATA("dato",'[1]evolucion mensual nacionali'!$A$4,"indicador","TOTAL","mes",5,"año",2006)</f>
        <v>1.2711800359739416E-2</v>
      </c>
      <c r="U66" s="204">
        <f>GETPIVOTDATA("dato",'[1]evolucion mensual nacionali'!$A$4,"indicador","USA","mes",5,"año",2006)/GETPIVOTDATA("dato",'[1]evolucion mensual nacionali'!$A$4,"indicador","TOTAL","mes",5,"año",2006)</f>
        <v>2.8265239801085265E-3</v>
      </c>
      <c r="V66" s="204">
        <f>GETPIVOTDATA("dato",'[1]evolucion mensual nacionali'!$A$4,"indicador","RESTO DE AMÉRICA","mes",5,"año",2006)/GETPIVOTDATA("dato",'[1]evolucion mensual nacionali'!$A$4,"indicador","TOTAL","mes",5,"año",2006)</f>
        <v>1.760909324506114E-3</v>
      </c>
      <c r="W66" s="204">
        <f>GETPIVOTDATA("dato",'[1]evolucion mensual nacionali'!$A$4,"indicador","RESTO DEL MUNDO","mes",5,"año",2006)/GETPIVOTDATA("dato",'[1]evolucion mensual nacionali'!$A$4,"indicador","TOTAL","mes",5,"año",2006)</f>
        <v>4.4513973911334817E-3</v>
      </c>
      <c r="X66" s="204">
        <f>(GETPIVOTDATA("dato",'[1]evolucion mensual nacionali'!$A$4,"indicador","TOTAL","mes",5,"año",2006)-GETPIVOTDATA("dato",'[1]evolucion mensual nacionali'!$A$4,"indicador","España","mes",5,"año",2006))/GETPIVOTDATA("dato",'[1]evolucion mensual nacionali'!$A$4,"indicador","TOTAL","mes",5,"año",2006)</f>
        <v>0.77631917048322985</v>
      </c>
      <c r="Y66" s="206">
        <f>GETPIVOTDATA("dato",'[1]evolucion mensual nacionali'!$A$4,"indicador","TOTAL","mes",5,"año",2006)/GETPIVOTDATA("dato",'[1]evolucion mensual nacionali'!$A$4,"indicador","TOTAL","mes",5,"año",2006)</f>
        <v>1</v>
      </c>
    </row>
    <row r="67" spans="2:25" hidden="1" outlineLevel="1">
      <c r="B67" s="51" t="s">
        <v>45</v>
      </c>
      <c r="C67" s="204">
        <f>GETPIVOTDATA("dato",'[1]evolucion mensual nacionali'!$A$4,"indicador","España","mes",4,"año",2006)/GETPIVOTDATA("dato",'[1]evolucion mensual nacionali'!$A$4,"indicador","TOTAL","mes",4,"año",2006)</f>
        <v>0.22490548258466347</v>
      </c>
      <c r="D67" s="204">
        <f>GETPIVOTDATA("dato",'[1]evolucion mensual nacionali'!$A$4,"indicador","HOLANDA","mes",4,"año",2006)/GETPIVOTDATA("dato",'[1]evolucion mensual nacionali'!$A$4,"indicador","TOTAL","mes",4,"año",2006)</f>
        <v>3.4342285195527518E-2</v>
      </c>
      <c r="E67" s="204">
        <f>GETPIVOTDATA("dato",'[1]evolucion mensual nacionali'!$A$4,"indicador","BÉLGICA","mes",4,"año",2006)/GETPIVOTDATA("dato",'[1]evolucion mensual nacionali'!$A$4,"indicador","TOTAL","mes",4,"año",2006)</f>
        <v>3.8875673687960376E-2</v>
      </c>
      <c r="F67" s="204">
        <f>GETPIVOTDATA("dato",'[1]evolucion mensual nacionali'!$A$4,"indicador","ALEMANIA","mes",4,"año",2006)/GETPIVOTDATA("dato",'[1]evolucion mensual nacionali'!$A$4,"indicador","TOTAL","mes",4,"año",2006)</f>
        <v>0.16800542397812021</v>
      </c>
      <c r="G67" s="204">
        <f>GETPIVOTDATA("dato",'[1]evolucion mensual nacionali'!$A$4,"indicador","FRANCIA","mes",4,"año",2006)/GETPIVOTDATA("dato",'[1]evolucion mensual nacionali'!$A$4,"indicador","TOTAL","mes",4,"año",2006)</f>
        <v>2.8498868089311777E-2</v>
      </c>
      <c r="H67" s="204">
        <f>GETPIVOTDATA("dato",'[1]evolucion mensual nacionali'!$A$4,"indicador","REINO UNIDO","mes",4,"año",2006)/GETPIVOTDATA("dato",'[1]evolucion mensual nacionali'!$A$4,"indicador","TOTAL","mes",4,"año",2006)</f>
        <v>0.3476746992105354</v>
      </c>
      <c r="I67" s="204">
        <f>GETPIVOTDATA("dato",'[1]evolucion mensual nacionali'!$A$4,"indicador","IRLANDA","mes",4,"año",2006)/GETPIVOTDATA("dato",'[1]evolucion mensual nacionali'!$A$4,"indicador","TOTAL","mes",4,"año",2006)</f>
        <v>5.9870605945691272E-3</v>
      </c>
      <c r="J67" s="204">
        <f>GETPIVOTDATA("dato",'[1]evolucion mensual nacionali'!$A$4,"indicador","ITALIA","mes",4,"año",2006)/GETPIVOTDATA("dato",'[1]evolucion mensual nacionali'!$A$4,"indicador","TOTAL","mes",4,"año",2006)</f>
        <v>2.1316693671642475E-2</v>
      </c>
      <c r="K67" s="204">
        <f>(GETPIVOTDATA("dato",'[1]evolucion mensual nacionali'!$A$4,"indicador","SUECIA","mes",4,"año",2006)+GETPIVOTDATA("dato",'[1]evolucion mensual nacionali'!$A$4,"indicador","NORUEGA","mes",4,"año",2006)+GETPIVOTDATA("dato",'[1]evolucion mensual nacionali'!$A$4,"indicador","DINAMARCA","mes",4,"año",2006)+GETPIVOTDATA("dato",'[1]evolucion mensual nacionali'!$A$4,"indicador","FINLANDIA","mes",4,"año",2006))/GETPIVOTDATA("dato",'[1]evolucion mensual nacionali'!$A$4,"indicador","TOTAL","mes",4,"año",2006)</f>
        <v>6.0818652968823619E-2</v>
      </c>
      <c r="L67" s="204">
        <f>GETPIVOTDATA("dato",'[1]evolucion mensual nacionali'!$A$4,"indicador","SUECIA","mes",4,"año",2006)/GETPIVOTDATA("dato",'[1]evolucion mensual nacionali'!$A$4,"indicador","TOTAL","mes",4,"año",2006)</f>
        <v>2.2132588685489708E-2</v>
      </c>
      <c r="M67" s="204">
        <f>GETPIVOTDATA("dato",'[1]evolucion mensual nacionali'!$A$4,"indicador","NORUEGA","mes",4,"año",2006)/GETPIVOTDATA("dato",'[1]evolucion mensual nacionali'!$A$4,"indicador","TOTAL","mes",4,"año",2006)</f>
        <v>8.3657967617011986E-3</v>
      </c>
      <c r="N67" s="204">
        <f>GETPIVOTDATA("dato",'[1]evolucion mensual nacionali'!$A$4,"indicador","DINAMARCA","mes",4,"año",2006)/GETPIVOTDATA("dato",'[1]evolucion mensual nacionali'!$A$4,"indicador","TOTAL","mes",4,"año",2006)</f>
        <v>1.9989427839257192E-2</v>
      </c>
      <c r="O67" s="204">
        <f>GETPIVOTDATA("dato",'[1]evolucion mensual nacionali'!$A$4,"indicador","FINLANDIA","mes",4,"año",2006)/GETPIVOTDATA("dato",'[1]evolucion mensual nacionali'!$A$4,"indicador","TOTAL","mes",4,"año",2006)</f>
        <v>1.0330839682375519E-2</v>
      </c>
      <c r="P67" s="204">
        <f>GETPIVOTDATA("dato",'[1]evolucion mensual nacionali'!$A$4,"indicador","SUIZA","mes",4,"año",2006)/GETPIVOTDATA("dato",'[1]evolucion mensual nacionali'!$A$4,"indicador","TOTAL","mes",4,"año",2006)</f>
        <v>5.3607749853483641E-3</v>
      </c>
      <c r="Q67" s="204">
        <f>GETPIVOTDATA("dato",'[1]evolucion mensual nacionali'!$A$4,"indicador","AUSTRIA","mes",4,"año",2006)/GETPIVOTDATA("dato",'[1]evolucion mensual nacionali'!$A$4,"indicador","TOTAL","mes",4,"año",2006)</f>
        <v>7.8142057664241961E-3</v>
      </c>
      <c r="R67" s="204">
        <f>GETPIVOTDATA("dato",'[1]evolucion mensual nacionali'!$A$4,"indicador","RUSIA","mes",4,"año",2006)/GETPIVOTDATA("dato",'[1]evolucion mensual nacionali'!$A$4,"indicador","TOTAL","mes",4,"año",2006)</f>
        <v>2.2253249215706553E-2</v>
      </c>
      <c r="S67" s="204">
        <f>GETPIVOTDATA("dato",'[1]evolucion mensual nacionali'!$A$4,"indicador","PAÍSES DEL ESTE","mes",4,"año",2006)/GETPIVOTDATA("dato",'[1]evolucion mensual nacionali'!$A$4,"indicador","TOTAL","mes",4,"año",2006)</f>
        <v>8.9231334965123362E-3</v>
      </c>
      <c r="T67" s="204">
        <f>GETPIVOTDATA("dato",'[1]evolucion mensual nacionali'!$A$4,"indicador","RESTO DE EUROPA","mes",4,"año",2006)/GETPIVOTDATA("dato",'[1]evolucion mensual nacionali'!$A$4,"indicador","TOTAL","mes",4,"año",2006)</f>
        <v>1.6030613300237875E-2</v>
      </c>
      <c r="U67" s="204">
        <f>GETPIVOTDATA("dato",'[1]evolucion mensual nacionali'!$A$4,"indicador","USA","mes",4,"año",2006)/GETPIVOTDATA("dato",'[1]evolucion mensual nacionali'!$A$4,"indicador","TOTAL","mes",4,"año",2006)</f>
        <v>3.5336298134932948E-3</v>
      </c>
      <c r="V67" s="204">
        <f>GETPIVOTDATA("dato",'[1]evolucion mensual nacionali'!$A$4,"indicador","RESTO DE AMÉRICA","mes",4,"año",2006)/GETPIVOTDATA("dato",'[1]evolucion mensual nacionali'!$A$4,"indicador","TOTAL","mes",4,"año",2006)</f>
        <v>1.677755943967548E-3</v>
      </c>
      <c r="W67" s="204">
        <f>GETPIVOTDATA("dato",'[1]evolucion mensual nacionali'!$A$4,"indicador","RESTO DEL MUNDO","mes",4,"año",2006)/GETPIVOTDATA("dato",'[1]evolucion mensual nacionali'!$A$4,"indicador","TOTAL","mes",4,"año",2006)</f>
        <v>3.9817974971558586E-3</v>
      </c>
      <c r="X67" s="204">
        <f>(GETPIVOTDATA("dato",'[1]evolucion mensual nacionali'!$A$4,"indicador","TOTAL","mes",4,"año",2006)-GETPIVOTDATA("dato",'[1]evolucion mensual nacionali'!$A$4,"indicador","España","mes",4,"año",2006))/GETPIVOTDATA("dato",'[1]evolucion mensual nacionali'!$A$4,"indicador","TOTAL","mes",4,"año",2006)</f>
        <v>0.77509451741533653</v>
      </c>
      <c r="Y67" s="206">
        <f>GETPIVOTDATA("dato",'[1]evolucion mensual nacionali'!$A$4,"indicador","TOTAL","mes",4,"año",2006)/GETPIVOTDATA("dato",'[1]evolucion mensual nacionali'!$A$4,"indicador","TOTAL","mes",4,"año",2006)</f>
        <v>1</v>
      </c>
    </row>
    <row r="68" spans="2:25" hidden="1" outlineLevel="1">
      <c r="B68" s="51" t="s">
        <v>46</v>
      </c>
      <c r="C68" s="204">
        <f>GETPIVOTDATA("dato",'[1]evolucion mensual nacionali'!$A$4,"indicador","España","mes",3,"año",2006)/GETPIVOTDATA("dato",'[1]evolucion mensual nacionali'!$A$4,"indicador","TOTAL","mes",3,"año",2006)</f>
        <v>0.11179798389260144</v>
      </c>
      <c r="D68" s="204">
        <f>GETPIVOTDATA("dato",'[1]evolucion mensual nacionali'!$A$4,"indicador","HOLANDA","mes",3,"año",2006)/GETPIVOTDATA("dato",'[1]evolucion mensual nacionali'!$A$4,"indicador","TOTAL","mes",3,"año",2006)</f>
        <v>3.5481582602578852E-2</v>
      </c>
      <c r="E68" s="204">
        <f>GETPIVOTDATA("dato",'[1]evolucion mensual nacionali'!$A$4,"indicador","BÉLGICA","mes",3,"año",2006)/GETPIVOTDATA("dato",'[1]evolucion mensual nacionali'!$A$4,"indicador","TOTAL","mes",3,"año",2006)</f>
        <v>3.2983803182135216E-2</v>
      </c>
      <c r="F68" s="204">
        <f>GETPIVOTDATA("dato",'[1]evolucion mensual nacionali'!$A$4,"indicador","ALEMANIA","mes",3,"año",2006)/GETPIVOTDATA("dato",'[1]evolucion mensual nacionali'!$A$4,"indicador","TOTAL","mes",3,"año",2006)</f>
        <v>0.16285641047040519</v>
      </c>
      <c r="G68" s="204">
        <f>GETPIVOTDATA("dato",'[1]evolucion mensual nacionali'!$A$4,"indicador","FRANCIA","mes",3,"año",2006)/GETPIVOTDATA("dato",'[1]evolucion mensual nacionali'!$A$4,"indicador","TOTAL","mes",3,"año",2006)</f>
        <v>2.0751241438100972E-2</v>
      </c>
      <c r="H68" s="204">
        <f>GETPIVOTDATA("dato",'[1]evolucion mensual nacionali'!$A$4,"indicador","REINO UNIDO","mes",3,"año",2006)/GETPIVOTDATA("dato",'[1]evolucion mensual nacionali'!$A$4,"indicador","TOTAL","mes",3,"año",2006)</f>
        <v>0.4162647765411418</v>
      </c>
      <c r="I68" s="204">
        <f>GETPIVOTDATA("dato",'[1]evolucion mensual nacionali'!$A$4,"indicador","IRLANDA","mes",3,"año",2006)/GETPIVOTDATA("dato",'[1]evolucion mensual nacionali'!$A$4,"indicador","TOTAL","mes",3,"año",2006)</f>
        <v>5.44265539585929E-3</v>
      </c>
      <c r="J68" s="204">
        <f>GETPIVOTDATA("dato",'[1]evolucion mensual nacionali'!$A$4,"indicador","ITALIA","mes",3,"año",2006)/GETPIVOTDATA("dato",'[1]evolucion mensual nacionali'!$A$4,"indicador","TOTAL","mes",3,"año",2006)</f>
        <v>2.5460658483806162E-2</v>
      </c>
      <c r="K68" s="204">
        <f>(GETPIVOTDATA("dato",'[1]evolucion mensual nacionali'!$A$4,"indicador","SUECIA","mes",3,"año",2006)+GETPIVOTDATA("dato",'[1]evolucion mensual nacionali'!$A$4,"indicador","NORUEGA","mes",3,"año",2006)+GETPIVOTDATA("dato",'[1]evolucion mensual nacionali'!$A$4,"indicador","DINAMARCA","mes",3,"año",2006)+GETPIVOTDATA("dato",'[1]evolucion mensual nacionali'!$A$4,"indicador","FINLANDIA","mes",3,"año",2006))/GETPIVOTDATA("dato",'[1]evolucion mensual nacionali'!$A$4,"indicador","TOTAL","mes",3,"año",2006)</f>
        <v>0.12168775968858235</v>
      </c>
      <c r="L68" s="204">
        <f>GETPIVOTDATA("dato",'[1]evolucion mensual nacionali'!$A$4,"indicador","SUECIA","mes",3,"año",2006)/GETPIVOTDATA("dato",'[1]evolucion mensual nacionali'!$A$4,"indicador","TOTAL","mes",3,"año",2006)</f>
        <v>4.0650018778055311E-2</v>
      </c>
      <c r="M68" s="204">
        <f>GETPIVOTDATA("dato",'[1]evolucion mensual nacionali'!$A$4,"indicador","NORUEGA","mes",3,"año",2006)/GETPIVOTDATA("dato",'[1]evolucion mensual nacionali'!$A$4,"indicador","TOTAL","mes",3,"año",2006)</f>
        <v>1.7007552951135329E-2</v>
      </c>
      <c r="N68" s="204">
        <f>GETPIVOTDATA("dato",'[1]evolucion mensual nacionali'!$A$4,"indicador","DINAMARCA","mes",3,"año",2006)/GETPIVOTDATA("dato",'[1]evolucion mensual nacionali'!$A$4,"indicador","TOTAL","mes",3,"año",2006)</f>
        <v>3.3430899737107223E-2</v>
      </c>
      <c r="O68" s="204">
        <f>GETPIVOTDATA("dato",'[1]evolucion mensual nacionali'!$A$4,"indicador","FINLANDIA","mes",3,"año",2006)/GETPIVOTDATA("dato",'[1]evolucion mensual nacionali'!$A$4,"indicador","TOTAL","mes",3,"año",2006)</f>
        <v>3.0599288222284485E-2</v>
      </c>
      <c r="P68" s="204">
        <f>GETPIVOTDATA("dato",'[1]evolucion mensual nacionali'!$A$4,"indicador","SUIZA","mes",3,"año",2006)/GETPIVOTDATA("dato",'[1]evolucion mensual nacionali'!$A$4,"indicador","TOTAL","mes",3,"año",2006)</f>
        <v>4.7630686323018321E-3</v>
      </c>
      <c r="Q68" s="204">
        <f>GETPIVOTDATA("dato",'[1]evolucion mensual nacionali'!$A$4,"indicador","AUSTRIA","mes",3,"año",2006)/GETPIVOTDATA("dato",'[1]evolucion mensual nacionali'!$A$4,"indicador","TOTAL","mes",3,"año",2006)</f>
        <v>6.0507067106212254E-3</v>
      </c>
      <c r="R68" s="204">
        <f>GETPIVOTDATA("dato",'[1]evolucion mensual nacionali'!$A$4,"indicador","RUSIA","mes",3,"año",2006)/GETPIVOTDATA("dato",'[1]evolucion mensual nacionali'!$A$4,"indicador","TOTAL","mes",3,"año",2006)</f>
        <v>1.7442726931308085E-2</v>
      </c>
      <c r="S68" s="204">
        <f>GETPIVOTDATA("dato",'[1]evolucion mensual nacionali'!$A$4,"indicador","PAÍSES DEL ESTE","mes",3,"año",2006)/GETPIVOTDATA("dato",'[1]evolucion mensual nacionali'!$A$4,"indicador","TOTAL","mes",3,"año",2006)</f>
        <v>1.0497827110742836E-2</v>
      </c>
      <c r="T68" s="204">
        <f>GETPIVOTDATA("dato",'[1]evolucion mensual nacionali'!$A$4,"indicador","RESTO DE EUROPA","mes",3,"año",2006)/GETPIVOTDATA("dato",'[1]evolucion mensual nacionali'!$A$4,"indicador","TOTAL","mes",3,"año",2006)</f>
        <v>1.6029901817596528E-2</v>
      </c>
      <c r="U68" s="204">
        <f>GETPIVOTDATA("dato",'[1]evolucion mensual nacionali'!$A$4,"indicador","USA","mes",3,"año",2006)/GETPIVOTDATA("dato",'[1]evolucion mensual nacionali'!$A$4,"indicador","TOTAL","mes",3,"año",2006)</f>
        <v>3.6721530381701234E-3</v>
      </c>
      <c r="V68" s="204">
        <f>GETPIVOTDATA("dato",'[1]evolucion mensual nacionali'!$A$4,"indicador","RESTO DE AMÉRICA","mes",3,"año",2006)/GETPIVOTDATA("dato",'[1]evolucion mensual nacionali'!$A$4,"indicador","TOTAL","mes",3,"año",2006)</f>
        <v>3.2190951957984846E-3</v>
      </c>
      <c r="W68" s="204">
        <f>GETPIVOTDATA("dato",'[1]evolucion mensual nacionali'!$A$4,"indicador","RESTO DEL MUNDO","mes",3,"año",2006)/GETPIVOTDATA("dato",'[1]evolucion mensual nacionali'!$A$4,"indicador","TOTAL","mes",3,"año",2006)</f>
        <v>5.597648868249587E-3</v>
      </c>
      <c r="X68" s="204">
        <f>(GETPIVOTDATA("dato",'[1]evolucion mensual nacionali'!$A$4,"indicador","TOTAL","mes",3,"año",2006)-GETPIVOTDATA("dato",'[1]evolucion mensual nacionali'!$A$4,"indicador","España","mes",3,"año",2006))/GETPIVOTDATA("dato",'[1]evolucion mensual nacionali'!$A$4,"indicador","TOTAL","mes",3,"año",2006)</f>
        <v>0.88820201610739857</v>
      </c>
      <c r="Y68" s="206">
        <f>GETPIVOTDATA("dato",'[1]evolucion mensual nacionali'!$A$4,"indicador","TOTAL","mes",3,"año",2006)/GETPIVOTDATA("dato",'[1]evolucion mensual nacionali'!$A$4,"indicador","TOTAL","mes",3,"año",2006)</f>
        <v>1</v>
      </c>
    </row>
    <row r="69" spans="2:25" hidden="1" outlineLevel="1">
      <c r="B69" s="51" t="s">
        <v>47</v>
      </c>
      <c r="C69" s="204">
        <f>GETPIVOTDATA("dato",'[1]evolucion mensual nacionali'!$A$4,"indicador","España","mes",2,"año",2006)/GETPIVOTDATA("dato",'[1]evolucion mensual nacionali'!$A$4,"indicador","TOTAL","mes",2,"año",2006)</f>
        <v>0.10772496600218913</v>
      </c>
      <c r="D69" s="204">
        <f>GETPIVOTDATA("dato",'[1]evolucion mensual nacionali'!$A$4,"indicador","HOLANDA","mes",2,"año",2006)/GETPIVOTDATA("dato",'[1]evolucion mensual nacionali'!$A$4,"indicador","TOTAL","mes",2,"año",2006)</f>
        <v>4.1659756542505554E-2</v>
      </c>
      <c r="E69" s="204">
        <f>GETPIVOTDATA("dato",'[1]evolucion mensual nacionali'!$A$4,"indicador","BÉLGICA","mes",2,"año",2006)/GETPIVOTDATA("dato",'[1]evolucion mensual nacionali'!$A$4,"indicador","TOTAL","mes",2,"año",2006)</f>
        <v>3.6704368304089685E-2</v>
      </c>
      <c r="F69" s="204">
        <f>GETPIVOTDATA("dato",'[1]evolucion mensual nacionali'!$A$4,"indicador","ALEMANIA","mes",2,"año",2006)/GETPIVOTDATA("dato",'[1]evolucion mensual nacionali'!$A$4,"indicador","TOTAL","mes",2,"año",2006)</f>
        <v>0.16007164416730241</v>
      </c>
      <c r="G69" s="204">
        <f>GETPIVOTDATA("dato",'[1]evolucion mensual nacionali'!$A$4,"indicador","FRANCIA","mes",2,"año",2006)/GETPIVOTDATA("dato",'[1]evolucion mensual nacionali'!$A$4,"indicador","TOTAL","mes",2,"año",2006)</f>
        <v>2.7994295001492586E-2</v>
      </c>
      <c r="H69" s="204">
        <f>GETPIVOTDATA("dato",'[1]evolucion mensual nacionali'!$A$4,"indicador","REINO UNIDO","mes",2,"año",2006)/GETPIVOTDATA("dato",'[1]evolucion mensual nacionali'!$A$4,"indicador","TOTAL","mes",2,"año",2006)</f>
        <v>0.39407608875916283</v>
      </c>
      <c r="I69" s="204">
        <f>GETPIVOTDATA("dato",'[1]evolucion mensual nacionali'!$A$4,"indicador","IRLANDA","mes",2,"año",2006)/GETPIVOTDATA("dato",'[1]evolucion mensual nacionali'!$A$4,"indicador","TOTAL","mes",2,"año",2006)</f>
        <v>6.487777372383827E-3</v>
      </c>
      <c r="J69" s="204">
        <f>GETPIVOTDATA("dato",'[1]evolucion mensual nacionali'!$A$4,"indicador","ITALIA","mes",2,"año",2006)/GETPIVOTDATA("dato",'[1]evolucion mensual nacionali'!$A$4,"indicador","TOTAL","mes",2,"año",2006)</f>
        <v>3.5749112740057716E-2</v>
      </c>
      <c r="K69" s="204">
        <f>(GETPIVOTDATA("dato",'[1]evolucion mensual nacionali'!$A$4,"indicador","SUECIA","mes",2,"año",2006)+GETPIVOTDATA("dato",'[1]evolucion mensual nacionali'!$A$4,"indicador","NORUEGA","mes",2,"año",2006)+GETPIVOTDATA("dato",'[1]evolucion mensual nacionali'!$A$4,"indicador","DINAMARCA","mes",2,"año",2006)+GETPIVOTDATA("dato",'[1]evolucion mensual nacionali'!$A$4,"indicador","FINLANDIA","mes",2,"año",2006))/GETPIVOTDATA("dato",'[1]evolucion mensual nacionali'!$A$4,"indicador","TOTAL","mes",2,"año",2006)</f>
        <v>0.12957643702942054</v>
      </c>
      <c r="L69" s="204">
        <f>GETPIVOTDATA("dato",'[1]evolucion mensual nacionali'!$A$4,"indicador","SUECIA","mes",2,"año",2006)/GETPIVOTDATA("dato",'[1]evolucion mensual nacionali'!$A$4,"indicador","TOTAL","mes",2,"año",2006)</f>
        <v>3.984211748316694E-2</v>
      </c>
      <c r="M69" s="204">
        <f>GETPIVOTDATA("dato",'[1]evolucion mensual nacionali'!$A$4,"indicador","NORUEGA","mes",2,"año",2006)/GETPIVOTDATA("dato",'[1]evolucion mensual nacionali'!$A$4,"indicador","TOTAL","mes",2,"año",2006)</f>
        <v>2.0876314305615443E-2</v>
      </c>
      <c r="N69" s="204">
        <f>GETPIVOTDATA("dato",'[1]evolucion mensual nacionali'!$A$4,"indicador","DINAMARCA","mes",2,"año",2006)/GETPIVOTDATA("dato",'[1]evolucion mensual nacionali'!$A$4,"indicador","TOTAL","mes",2,"año",2006)</f>
        <v>3.7029420544628343E-2</v>
      </c>
      <c r="O69" s="204">
        <f>GETPIVOTDATA("dato",'[1]evolucion mensual nacionali'!$A$4,"indicador","FINLANDIA","mes",2,"año",2006)/GETPIVOTDATA("dato",'[1]evolucion mensual nacionali'!$A$4,"indicador","TOTAL","mes",2,"año",2006)</f>
        <v>3.1828584696009819E-2</v>
      </c>
      <c r="P69" s="204">
        <f>GETPIVOTDATA("dato",'[1]evolucion mensual nacionali'!$A$4,"indicador","SUIZA","mes",2,"año",2006)/GETPIVOTDATA("dato",'[1]evolucion mensual nacionali'!$A$4,"indicador","TOTAL","mes",2,"año",2006)</f>
        <v>4.0532024279412255E-3</v>
      </c>
      <c r="Q69" s="204">
        <f>GETPIVOTDATA("dato",'[1]evolucion mensual nacionali'!$A$4,"indicador","AUSTRIA","mes",2,"año",2006)/GETPIVOTDATA("dato",'[1]evolucion mensual nacionali'!$A$4,"indicador","TOTAL","mes",2,"año",2006)</f>
        <v>7.9538293144051208E-3</v>
      </c>
      <c r="R69" s="204">
        <f>GETPIVOTDATA("dato",'[1]evolucion mensual nacionali'!$A$4,"indicador","RUSIA","mes",2,"año",2006)/GETPIVOTDATA("dato",'[1]evolucion mensual nacionali'!$A$4,"indicador","TOTAL","mes",2,"año",2006)</f>
        <v>1.2710205976980995E-2</v>
      </c>
      <c r="S69" s="204">
        <f>GETPIVOTDATA("dato",'[1]evolucion mensual nacionali'!$A$4,"indicador","PAÍSES DEL ESTE","mes",2,"año",2006)/GETPIVOTDATA("dato",'[1]evolucion mensual nacionali'!$A$4,"indicador","TOTAL","mes",2,"año",2006)</f>
        <v>1.0441474012405055E-2</v>
      </c>
      <c r="T69" s="204">
        <f>GETPIVOTDATA("dato",'[1]evolucion mensual nacionali'!$A$4,"indicador","RESTO DE EUROPA","mes",2,"año",2006)/GETPIVOTDATA("dato",'[1]evolucion mensual nacionali'!$A$4,"indicador","TOTAL","mes",2,"año",2006)</f>
        <v>1.3121496567050316E-2</v>
      </c>
      <c r="U69" s="204">
        <f>GETPIVOTDATA("dato",'[1]evolucion mensual nacionali'!$A$4,"indicador","USA","mes",2,"año",2006)/GETPIVOTDATA("dato",'[1]evolucion mensual nacionali'!$A$4,"indicador","TOTAL","mes",2,"año",2006)</f>
        <v>5.3069753557331914E-3</v>
      </c>
      <c r="V69" s="204">
        <f>GETPIVOTDATA("dato",'[1]evolucion mensual nacionali'!$A$4,"indicador","RESTO DE AMÉRICA","mes",2,"año",2006)/GETPIVOTDATA("dato",'[1]evolucion mensual nacionali'!$A$4,"indicador","TOTAL","mes",2,"año",2006)</f>
        <v>1.1542671398719693E-3</v>
      </c>
      <c r="W69" s="204">
        <f>GETPIVOTDATA("dato",'[1]evolucion mensual nacionali'!$A$4,"indicador","RESTO DEL MUNDO","mes",2,"año",2006)/GETPIVOTDATA("dato",'[1]evolucion mensual nacionali'!$A$4,"indicador","TOTAL","mes",2,"año",2006)</f>
        <v>5.2141032870078614E-3</v>
      </c>
      <c r="X69" s="204">
        <f>(GETPIVOTDATA("dato",'[1]evolucion mensual nacionali'!$A$4,"indicador","TOTAL","mes",2,"año",2006)-GETPIVOTDATA("dato",'[1]evolucion mensual nacionali'!$A$4,"indicador","España","mes",2,"año",2006))/GETPIVOTDATA("dato",'[1]evolucion mensual nacionali'!$A$4,"indicador","TOTAL","mes",2,"año",2006)</f>
        <v>0.89227503399781083</v>
      </c>
      <c r="Y69" s="206">
        <f>GETPIVOTDATA("dato",'[1]evolucion mensual nacionali'!$A$4,"indicador","TOTAL","mes",2,"año",2006)/GETPIVOTDATA("dato",'[1]evolucion mensual nacionali'!$A$4,"indicador","TOTAL","mes",2,"año",2006)</f>
        <v>1</v>
      </c>
    </row>
    <row r="70" spans="2:25" hidden="1" outlineLevel="1">
      <c r="B70" s="51" t="s">
        <v>48</v>
      </c>
      <c r="C70" s="204">
        <f>GETPIVOTDATA("dato",'[1]evolucion mensual nacionali'!$A$4,"indicador","España","mes",1,"año",2006)/GETPIVOTDATA("dato",'[1]evolucion mensual nacionali'!$A$4,"indicador","TOTAL","mes",1,"año",2006)</f>
        <v>0.106132260853617</v>
      </c>
      <c r="D70" s="204">
        <f>GETPIVOTDATA("dato",'[1]evolucion mensual nacionali'!$A$4,"indicador","HOLANDA","mes",1,"año",2006)/GETPIVOTDATA("dato",'[1]evolucion mensual nacionali'!$A$4,"indicador","TOTAL","mes",1,"año",2006)</f>
        <v>3.7892682159981136E-2</v>
      </c>
      <c r="E70" s="204">
        <f>GETPIVOTDATA("dato",'[1]evolucion mensual nacionali'!$A$4,"indicador","BÉLGICA","mes",1,"año",2006)/GETPIVOTDATA("dato",'[1]evolucion mensual nacionali'!$A$4,"indicador","TOTAL","mes",1,"año",2006)</f>
        <v>3.8580449079047348E-2</v>
      </c>
      <c r="F70" s="204">
        <f>GETPIVOTDATA("dato",'[1]evolucion mensual nacionali'!$A$4,"indicador","ALEMANIA","mes",1,"año",2006)/GETPIVOTDATA("dato",'[1]evolucion mensual nacionali'!$A$4,"indicador","TOTAL","mes",1,"año",2006)</f>
        <v>0.15695496109204288</v>
      </c>
      <c r="G70" s="204">
        <f>GETPIVOTDATA("dato",'[1]evolucion mensual nacionali'!$A$4,"indicador","FRANCIA","mes",1,"año",2006)/GETPIVOTDATA("dato",'[1]evolucion mensual nacionali'!$A$4,"indicador","TOTAL","mes",1,"año",2006)</f>
        <v>1.9054418738700972E-2</v>
      </c>
      <c r="H70" s="204">
        <f>GETPIVOTDATA("dato",'[1]evolucion mensual nacionali'!$A$4,"indicador","REINO UNIDO","mes",1,"año",2006)/GETPIVOTDATA("dato",'[1]evolucion mensual nacionali'!$A$4,"indicador","TOTAL","mes",1,"año",2006)</f>
        <v>0.37057536615400738</v>
      </c>
      <c r="I70" s="204">
        <f>GETPIVOTDATA("dato",'[1]evolucion mensual nacionali'!$A$4,"indicador","IRLANDA","mes",1,"año",2006)/GETPIVOTDATA("dato",'[1]evolucion mensual nacionali'!$A$4,"indicador","TOTAL","mes",1,"año",2006)</f>
        <v>5.4038829355202139E-3</v>
      </c>
      <c r="J70" s="204">
        <f>GETPIVOTDATA("dato",'[1]evolucion mensual nacionali'!$A$4,"indicador","ITALIA","mes",1,"año",2006)/GETPIVOTDATA("dato",'[1]evolucion mensual nacionali'!$A$4,"indicador","TOTAL","mes",1,"año",2006)</f>
        <v>5.0337988314512534E-2</v>
      </c>
      <c r="K70" s="204">
        <f>(GETPIVOTDATA("dato",'[1]evolucion mensual nacionali'!$A$4,"indicador","SUECIA","mes",1,"año",2006)+GETPIVOTDATA("dato",'[1]evolucion mensual nacionali'!$A$4,"indicador","NORUEGA","mes",1,"año",2006)+GETPIVOTDATA("dato",'[1]evolucion mensual nacionali'!$A$4,"indicador","DINAMARCA","mes",1,"año",2006)+GETPIVOTDATA("dato",'[1]evolucion mensual nacionali'!$A$4,"indicador","FINLANDIA","mes",1,"año",2006))/GETPIVOTDATA("dato",'[1]evolucion mensual nacionali'!$A$4,"indicador","TOTAL","mes",1,"año",2006)</f>
        <v>0.14316032174391491</v>
      </c>
      <c r="L70" s="204">
        <f>GETPIVOTDATA("dato",'[1]evolucion mensual nacionali'!$A$4,"indicador","SUECIA","mes",1,"año",2006)/GETPIVOTDATA("dato",'[1]evolucion mensual nacionali'!$A$4,"indicador","TOTAL","mes",1,"año",2006)</f>
        <v>5.327246050252836E-2</v>
      </c>
      <c r="M70" s="204">
        <f>GETPIVOTDATA("dato",'[1]evolucion mensual nacionali'!$A$4,"indicador","NORUEGA","mes",1,"año",2006)/GETPIVOTDATA("dato",'[1]evolucion mensual nacionali'!$A$4,"indicador","TOTAL","mes",1,"año",2006)</f>
        <v>2.1589331097545E-2</v>
      </c>
      <c r="N70" s="204">
        <f>GETPIVOTDATA("dato",'[1]evolucion mensual nacionali'!$A$4,"indicador","DINAMARCA","mes",1,"año",2006)/GETPIVOTDATA("dato",'[1]evolucion mensual nacionali'!$A$4,"indicador","TOTAL","mes",1,"año",2006)</f>
        <v>3.589488301412215E-2</v>
      </c>
      <c r="O70" s="204">
        <f>GETPIVOTDATA("dato",'[1]evolucion mensual nacionali'!$A$4,"indicador","FINLANDIA","mes",1,"año",2006)/GETPIVOTDATA("dato",'[1]evolucion mensual nacionali'!$A$4,"indicador","TOTAL","mes",1,"año",2006)</f>
        <v>3.2403647129719389E-2</v>
      </c>
      <c r="P70" s="204">
        <f>GETPIVOTDATA("dato",'[1]evolucion mensual nacionali'!$A$4,"indicador","SUIZA","mes",1,"año",2006)/GETPIVOTDATA("dato",'[1]evolucion mensual nacionali'!$A$4,"indicador","TOTAL","mes",1,"año",2006)</f>
        <v>5.2663295517069719E-3</v>
      </c>
      <c r="Q70" s="204">
        <f>GETPIVOTDATA("dato",'[1]evolucion mensual nacionali'!$A$4,"indicador","AUSTRIA","mes",1,"año",2006)/GETPIVOTDATA("dato",'[1]evolucion mensual nacionali'!$A$4,"indicador","TOTAL","mes",1,"año",2006)</f>
        <v>7.2510283752980327E-3</v>
      </c>
      <c r="R70" s="204">
        <f>GETPIVOTDATA("dato",'[1]evolucion mensual nacionali'!$A$4,"indicador","RUSIA","mes",1,"año",2006)/GETPIVOTDATA("dato",'[1]evolucion mensual nacionali'!$A$4,"indicador","TOTAL","mes",1,"año",2006)</f>
        <v>2.0095894359001231E-2</v>
      </c>
      <c r="S70" s="204">
        <f>GETPIVOTDATA("dato",'[1]evolucion mensual nacionali'!$A$4,"indicador","PAÍSES DEL ESTE","mes",1,"año",2006)/GETPIVOTDATA("dato",'[1]evolucion mensual nacionali'!$A$4,"indicador","TOTAL","mes",1,"año",2006)</f>
        <v>1.3336128068750491E-2</v>
      </c>
      <c r="T70" s="204">
        <f>GETPIVOTDATA("dato",'[1]evolucion mensual nacionali'!$A$4,"indicador","RESTO DE EUROPA","mes",1,"año",2006)/GETPIVOTDATA("dato",'[1]evolucion mensual nacionali'!$A$4,"indicador","TOTAL","mes",1,"año",2006)</f>
        <v>1.6113396389551182E-2</v>
      </c>
      <c r="U70" s="204">
        <f>GETPIVOTDATA("dato",'[1]evolucion mensual nacionali'!$A$4,"indicador","USA","mes",1,"año",2006)/GETPIVOTDATA("dato",'[1]evolucion mensual nacionali'!$A$4,"indicador","TOTAL","mes",1,"año",2006)</f>
        <v>2.4825110697723166E-3</v>
      </c>
      <c r="V70" s="204">
        <f>GETPIVOTDATA("dato",'[1]evolucion mensual nacionali'!$A$4,"indicador","RESTO DE AMÉRICA","mes",1,"año",2006)/GETPIVOTDATA("dato",'[1]evolucion mensual nacionali'!$A$4,"indicador","TOTAL","mes",1,"año",2006)</f>
        <v>9.1047239762098145E-4</v>
      </c>
      <c r="W70" s="204">
        <f>GETPIVOTDATA("dato",'[1]evolucion mensual nacionali'!$A$4,"indicador","RESTO DEL MUNDO","mes",1,"año",2006)/GETPIVOTDATA("dato",'[1]evolucion mensual nacionali'!$A$4,"indicador","TOTAL","mes",1,"año",2006)</f>
        <v>6.4519087169544369E-3</v>
      </c>
      <c r="X70" s="204">
        <f>(GETPIVOTDATA("dato",'[1]evolucion mensual nacionali'!$A$4,"indicador","TOTAL","mes",1,"año",2006)-GETPIVOTDATA("dato",'[1]evolucion mensual nacionali'!$A$4,"indicador","España","mes",1,"año",2006))/GETPIVOTDATA("dato",'[1]evolucion mensual nacionali'!$A$4,"indicador","TOTAL","mes",1,"año",2006)</f>
        <v>0.89386773914638296</v>
      </c>
      <c r="Y70" s="206">
        <f>GETPIVOTDATA("dato",'[1]evolucion mensual nacionali'!$A$4,"indicador","TOTAL","mes",1,"año",2006)/GETPIVOTDATA("dato",'[1]evolucion mensual nacionali'!$A$4,"indicador","TOTAL","mes",1,"año",2006)</f>
        <v>1</v>
      </c>
    </row>
    <row r="71" spans="2:25" collapsed="1">
      <c r="B71" s="215">
        <v>2006</v>
      </c>
      <c r="C71" s="217">
        <f>GETPIVOTDATA("dato",'[1]evolucion mensual nacionali'!$A$4,"indicador","España","año",2006)/GETPIVOTDATA("dato",'[1]evolucion mensual nacionali'!$A$4,"indicador","TOTAL","año",2006)</f>
        <v>0.18968644297275733</v>
      </c>
      <c r="D71" s="217">
        <f>GETPIVOTDATA("dato",'[1]evolucion mensual nacionali'!$A$4,"indicador","HOLANDA","año",2006)/GETPIVOTDATA("dato",'[1]evolucion mensual nacionali'!$A$4,"indicador","TOTAL","año",2006)</f>
        <v>3.6417784023042125E-2</v>
      </c>
      <c r="E71" s="217">
        <f>GETPIVOTDATA("dato",'[1]evolucion mensual nacionali'!$A$4,"indicador","BÉLGICA","año",2006)/GETPIVOTDATA("dato",'[1]evolucion mensual nacionali'!$A$4,"indicador","TOTAL","año",2006)</f>
        <v>3.4143290502992876E-2</v>
      </c>
      <c r="F71" s="217">
        <f>GETPIVOTDATA("dato",'[1]evolucion mensual nacionali'!$A$4,"indicador","ALEMANIA","año",2006)/GETPIVOTDATA("dato",'[1]evolucion mensual nacionali'!$A$4,"indicador","TOTAL","año",2006)</f>
        <v>0.14427527118662498</v>
      </c>
      <c r="G71" s="217">
        <f>GETPIVOTDATA("dato",'[1]evolucion mensual nacionali'!$A$4,"indicador","FRANCIA","año",2006)/GETPIVOTDATA("dato",'[1]evolucion mensual nacionali'!$A$4,"indicador","TOTAL","año",2006)</f>
        <v>1.973367767429025E-2</v>
      </c>
      <c r="H71" s="217">
        <f>GETPIVOTDATA("dato",'[1]evolucion mensual nacionali'!$A$4,"indicador","REINO UNIDO","año",2006)/GETPIVOTDATA("dato",'[1]evolucion mensual nacionali'!$A$4,"indicador","TOTAL","año",2006)</f>
        <v>0.39168300612140605</v>
      </c>
      <c r="I71" s="217">
        <f>GETPIVOTDATA("dato",'[1]evolucion mensual nacionali'!$A$4,"indicador","IRLANDA","año",2006)/GETPIVOTDATA("dato",'[1]evolucion mensual nacionali'!$A$4,"indicador","TOTAL","año",2006)</f>
        <v>7.9185303654981127E-3</v>
      </c>
      <c r="J71" s="217">
        <f>GETPIVOTDATA("dato",'[1]evolucion mensual nacionali'!$A$4,"indicador","ITALIA","año",2006)/GETPIVOTDATA("dato",'[1]evolucion mensual nacionali'!$A$4,"indicador","TOTAL","año",2006)</f>
        <v>3.1252151915249875E-2</v>
      </c>
      <c r="K71" s="217">
        <f>(GETPIVOTDATA("dato",'[1]evolucion mensual nacionali'!$A$4,"indicador","SUECIA","año",2006)+GETPIVOTDATA("dato",'[1]evolucion mensual nacionali'!$A$4,"indicador","NORUEGA","año",2006)+GETPIVOTDATA("dato",'[1]evolucion mensual nacionali'!$A$4,"indicador","DINAMARCA","año",2006)+GETPIVOTDATA("dato",'[1]evolucion mensual nacionali'!$A$4,"indicador","FINLANDIA","año",2006))/GETPIVOTDATA("dato",'[1]evolucion mensual nacionali'!$A$4,"indicador","TOTAL","año",2006)</f>
        <v>6.4640557020511857E-2</v>
      </c>
      <c r="L71" s="217">
        <f>GETPIVOTDATA("dato",'[1]evolucion mensual nacionali'!$A$4,"indicador","SUECIA","año",2006)/GETPIVOTDATA("dato",'[1]evolucion mensual nacionali'!$A$4,"indicador","TOTAL","año",2006)</f>
        <v>2.2208024255741504E-2</v>
      </c>
      <c r="M71" s="217">
        <f>GETPIVOTDATA("dato",'[1]evolucion mensual nacionali'!$A$4,"indicador","NORUEGA","año",2006)/GETPIVOTDATA("dato",'[1]evolucion mensual nacionali'!$A$4,"indicador","TOTAL","año",2006)</f>
        <v>1.0350938869297652E-2</v>
      </c>
      <c r="N71" s="217">
        <f>GETPIVOTDATA("dato",'[1]evolucion mensual nacionali'!$A$4,"indicador","DINAMARCA","año",2006)/GETPIVOTDATA("dato",'[1]evolucion mensual nacionali'!$A$4,"indicador","TOTAL","año",2006)</f>
        <v>1.8649500703886625E-2</v>
      </c>
      <c r="O71" s="217">
        <f>GETPIVOTDATA("dato",'[1]evolucion mensual nacionali'!$A$4,"indicador","FINLANDIA","año",2006)/GETPIVOTDATA("dato",'[1]evolucion mensual nacionali'!$A$4,"indicador","TOTAL","año",2006)</f>
        <v>1.3432093191586083E-2</v>
      </c>
      <c r="P71" s="217">
        <f>GETPIVOTDATA("dato",'[1]evolucion mensual nacionali'!$A$4,"indicador","SUIZA","año",2006)/GETPIVOTDATA("dato",'[1]evolucion mensual nacionali'!$A$4,"indicador","TOTAL","año",2006)</f>
        <v>6.2632706833680319E-3</v>
      </c>
      <c r="Q71" s="217">
        <f>GETPIVOTDATA("dato",'[1]evolucion mensual nacionali'!$A$4,"indicador","AUSTRIA","año",2006)/GETPIVOTDATA("dato",'[1]evolucion mensual nacionali'!$A$4,"indicador","TOTAL","año",2006)</f>
        <v>7.4489274466079088E-3</v>
      </c>
      <c r="R71" s="217">
        <f>GETPIVOTDATA("dato",'[1]evolucion mensual nacionali'!$A$4,"indicador","RUSIA","año",2006)/GETPIVOTDATA("dato",'[1]evolucion mensual nacionali'!$A$4,"indicador","TOTAL","año",2006)</f>
        <v>2.2021632799511654E-2</v>
      </c>
      <c r="S71" s="217">
        <f>GETPIVOTDATA("dato",'[1]evolucion mensual nacionali'!$A$4,"indicador","PAÍSES DEL ESTE","año",2006)/GETPIVOTDATA("dato",'[1]evolucion mensual nacionali'!$A$4,"indicador","TOTAL","año",2006)</f>
        <v>1.7041356639859086E-2</v>
      </c>
      <c r="T71" s="217">
        <f>GETPIVOTDATA("dato",'[1]evolucion mensual nacionali'!$A$4,"indicador","RESTO DE EUROPA","año",2006)/GETPIVOTDATA("dato",'[1]evolucion mensual nacionali'!$A$4,"indicador","TOTAL","año",2006)</f>
        <v>1.7234478898675017E-2</v>
      </c>
      <c r="U71" s="217">
        <f>GETPIVOTDATA("dato",'[1]evolucion mensual nacionali'!$A$4,"indicador","USA","año",2006)/GETPIVOTDATA("dato",'[1]evolucion mensual nacionali'!$A$4,"indicador","TOTAL","año",2006)</f>
        <v>2.7466852091648677E-3</v>
      </c>
      <c r="V71" s="217">
        <f>GETPIVOTDATA("dato",'[1]evolucion mensual nacionali'!$A$4,"indicador","RESTO DE AMÉRICA","año",2006)/GETPIVOTDATA("dato",'[1]evolucion mensual nacionali'!$A$4,"indicador","TOTAL","año",2006)</f>
        <v>1.6195346530193603E-3</v>
      </c>
      <c r="W71" s="217">
        <f>GETPIVOTDATA("dato",'[1]evolucion mensual nacionali'!$A$4,"indicador","RESTO DEL MUNDO","año",2006)/GETPIVOTDATA("dato",'[1]evolucion mensual nacionali'!$A$4,"indicador","TOTAL","año",2006)</f>
        <v>5.8734018874205957E-3</v>
      </c>
      <c r="X71" s="217">
        <f>(GETPIVOTDATA("dato",'[1]evolucion mensual nacionali'!$A$4,"indicador","TOTAL","año",2006)-GETPIVOTDATA("dato",'[1]evolucion mensual nacionali'!$A$4,"indicador","España","año",2006))/GETPIVOTDATA("dato",'[1]evolucion mensual nacionali'!$A$4,"indicador","TOTAL","año",2006)</f>
        <v>0.81031355702724261</v>
      </c>
      <c r="Y71" s="298">
        <f>GETPIVOTDATA("dato",'[1]evolucion mensual nacionali'!$A$4,"indicador","TOTAL","año",2006)/GETPIVOTDATA("dato",'[1]evolucion mensual nacionali'!$A$4,"indicador","TOTAL","año",2006)</f>
        <v>1</v>
      </c>
    </row>
  </sheetData>
  <mergeCells count="1">
    <mergeCell ref="B5:Y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73"/>
  <sheetViews>
    <sheetView showGridLines="0" showRowColHeaders="0" showZeros="0" zoomScaleNormal="100" workbookViewId="0">
      <selection activeCell="B25" sqref="B25"/>
    </sheetView>
  </sheetViews>
  <sheetFormatPr baseColWidth="10" defaultRowHeight="12" outlineLevelRow="1"/>
  <cols>
    <col min="1" max="1" width="12" style="299" customWidth="1"/>
    <col min="2" max="2" width="11.42578125" style="299"/>
    <col min="3" max="3" width="9.7109375" style="299" customWidth="1"/>
    <col min="4" max="4" width="11.7109375" style="299" customWidth="1"/>
    <col min="5" max="6" width="11.42578125" style="299" customWidth="1"/>
    <col min="7" max="20" width="9.140625" style="299" customWidth="1"/>
    <col min="21" max="21" width="11.140625" style="299" customWidth="1"/>
    <col min="22" max="240" width="11.42578125" style="299"/>
    <col min="241" max="241" width="12" style="299" customWidth="1"/>
    <col min="242" max="242" width="11.42578125" style="299"/>
    <col min="243" max="243" width="9.7109375" style="299" customWidth="1"/>
    <col min="244" max="244" width="15.85546875" style="299" customWidth="1"/>
    <col min="245" max="256" width="11.42578125" style="299" customWidth="1"/>
    <col min="257" max="262" width="10.140625" style="299" customWidth="1"/>
    <col min="263" max="276" width="9.140625" style="299" customWidth="1"/>
    <col min="277" max="277" width="11.140625" style="299" customWidth="1"/>
    <col min="278" max="496" width="11.42578125" style="299"/>
    <col min="497" max="497" width="12" style="299" customWidth="1"/>
    <col min="498" max="498" width="11.42578125" style="299"/>
    <col min="499" max="499" width="9.7109375" style="299" customWidth="1"/>
    <col min="500" max="500" width="15.85546875" style="299" customWidth="1"/>
    <col min="501" max="512" width="11.42578125" style="299" customWidth="1"/>
    <col min="513" max="518" width="10.140625" style="299" customWidth="1"/>
    <col min="519" max="532" width="9.140625" style="299" customWidth="1"/>
    <col min="533" max="533" width="11.140625" style="299" customWidth="1"/>
    <col min="534" max="752" width="11.42578125" style="299"/>
    <col min="753" max="753" width="12" style="299" customWidth="1"/>
    <col min="754" max="754" width="11.42578125" style="299"/>
    <col min="755" max="755" width="9.7109375" style="299" customWidth="1"/>
    <col min="756" max="756" width="15.85546875" style="299" customWidth="1"/>
    <col min="757" max="768" width="11.42578125" style="299" customWidth="1"/>
    <col min="769" max="774" width="10.140625" style="299" customWidth="1"/>
    <col min="775" max="788" width="9.140625" style="299" customWidth="1"/>
    <col min="789" max="789" width="11.140625" style="299" customWidth="1"/>
    <col min="790" max="1008" width="11.42578125" style="299"/>
    <col min="1009" max="1009" width="12" style="299" customWidth="1"/>
    <col min="1010" max="1010" width="11.42578125" style="299"/>
    <col min="1011" max="1011" width="9.7109375" style="299" customWidth="1"/>
    <col min="1012" max="1012" width="15.85546875" style="299" customWidth="1"/>
    <col min="1013" max="1024" width="11.42578125" style="299" customWidth="1"/>
    <col min="1025" max="1030" width="10.140625" style="299" customWidth="1"/>
    <col min="1031" max="1044" width="9.140625" style="299" customWidth="1"/>
    <col min="1045" max="1045" width="11.140625" style="299" customWidth="1"/>
    <col min="1046" max="1264" width="11.42578125" style="299"/>
    <col min="1265" max="1265" width="12" style="299" customWidth="1"/>
    <col min="1266" max="1266" width="11.42578125" style="299"/>
    <col min="1267" max="1267" width="9.7109375" style="299" customWidth="1"/>
    <col min="1268" max="1268" width="15.85546875" style="299" customWidth="1"/>
    <col min="1269" max="1280" width="11.42578125" style="299" customWidth="1"/>
    <col min="1281" max="1286" width="10.140625" style="299" customWidth="1"/>
    <col min="1287" max="1300" width="9.140625" style="299" customWidth="1"/>
    <col min="1301" max="1301" width="11.140625" style="299" customWidth="1"/>
    <col min="1302" max="1520" width="11.42578125" style="299"/>
    <col min="1521" max="1521" width="12" style="299" customWidth="1"/>
    <col min="1522" max="1522" width="11.42578125" style="299"/>
    <col min="1523" max="1523" width="9.7109375" style="299" customWidth="1"/>
    <col min="1524" max="1524" width="15.85546875" style="299" customWidth="1"/>
    <col min="1525" max="1536" width="11.42578125" style="299" customWidth="1"/>
    <col min="1537" max="1542" width="10.140625" style="299" customWidth="1"/>
    <col min="1543" max="1556" width="9.140625" style="299" customWidth="1"/>
    <col min="1557" max="1557" width="11.140625" style="299" customWidth="1"/>
    <col min="1558" max="1776" width="11.42578125" style="299"/>
    <col min="1777" max="1777" width="12" style="299" customWidth="1"/>
    <col min="1778" max="1778" width="11.42578125" style="299"/>
    <col min="1779" max="1779" width="9.7109375" style="299" customWidth="1"/>
    <col min="1780" max="1780" width="15.85546875" style="299" customWidth="1"/>
    <col min="1781" max="1792" width="11.42578125" style="299" customWidth="1"/>
    <col min="1793" max="1798" width="10.140625" style="299" customWidth="1"/>
    <col min="1799" max="1812" width="9.140625" style="299" customWidth="1"/>
    <col min="1813" max="1813" width="11.140625" style="299" customWidth="1"/>
    <col min="1814" max="2032" width="11.42578125" style="299"/>
    <col min="2033" max="2033" width="12" style="299" customWidth="1"/>
    <col min="2034" max="2034" width="11.42578125" style="299"/>
    <col min="2035" max="2035" width="9.7109375" style="299" customWidth="1"/>
    <col min="2036" max="2036" width="15.85546875" style="299" customWidth="1"/>
    <col min="2037" max="2048" width="11.42578125" style="299" customWidth="1"/>
    <col min="2049" max="2054" width="10.140625" style="299" customWidth="1"/>
    <col min="2055" max="2068" width="9.140625" style="299" customWidth="1"/>
    <col min="2069" max="2069" width="11.140625" style="299" customWidth="1"/>
    <col min="2070" max="2288" width="11.42578125" style="299"/>
    <col min="2289" max="2289" width="12" style="299" customWidth="1"/>
    <col min="2290" max="2290" width="11.42578125" style="299"/>
    <col min="2291" max="2291" width="9.7109375" style="299" customWidth="1"/>
    <col min="2292" max="2292" width="15.85546875" style="299" customWidth="1"/>
    <col min="2293" max="2304" width="11.42578125" style="299" customWidth="1"/>
    <col min="2305" max="2310" width="10.140625" style="299" customWidth="1"/>
    <col min="2311" max="2324" width="9.140625" style="299" customWidth="1"/>
    <col min="2325" max="2325" width="11.140625" style="299" customWidth="1"/>
    <col min="2326" max="2544" width="11.42578125" style="299"/>
    <col min="2545" max="2545" width="12" style="299" customWidth="1"/>
    <col min="2546" max="2546" width="11.42578125" style="299"/>
    <col min="2547" max="2547" width="9.7109375" style="299" customWidth="1"/>
    <col min="2548" max="2548" width="15.85546875" style="299" customWidth="1"/>
    <col min="2549" max="2560" width="11.42578125" style="299" customWidth="1"/>
    <col min="2561" max="2566" width="10.140625" style="299" customWidth="1"/>
    <col min="2567" max="2580" width="9.140625" style="299" customWidth="1"/>
    <col min="2581" max="2581" width="11.140625" style="299" customWidth="1"/>
    <col min="2582" max="2800" width="11.42578125" style="299"/>
    <col min="2801" max="2801" width="12" style="299" customWidth="1"/>
    <col min="2802" max="2802" width="11.42578125" style="299"/>
    <col min="2803" max="2803" width="9.7109375" style="299" customWidth="1"/>
    <col min="2804" max="2804" width="15.85546875" style="299" customWidth="1"/>
    <col min="2805" max="2816" width="11.42578125" style="299" customWidth="1"/>
    <col min="2817" max="2822" width="10.140625" style="299" customWidth="1"/>
    <col min="2823" max="2836" width="9.140625" style="299" customWidth="1"/>
    <col min="2837" max="2837" width="11.140625" style="299" customWidth="1"/>
    <col min="2838" max="3056" width="11.42578125" style="299"/>
    <col min="3057" max="3057" width="12" style="299" customWidth="1"/>
    <col min="3058" max="3058" width="11.42578125" style="299"/>
    <col min="3059" max="3059" width="9.7109375" style="299" customWidth="1"/>
    <col min="3060" max="3060" width="15.85546875" style="299" customWidth="1"/>
    <col min="3061" max="3072" width="11.42578125" style="299" customWidth="1"/>
    <col min="3073" max="3078" width="10.140625" style="299" customWidth="1"/>
    <col min="3079" max="3092" width="9.140625" style="299" customWidth="1"/>
    <col min="3093" max="3093" width="11.140625" style="299" customWidth="1"/>
    <col min="3094" max="3312" width="11.42578125" style="299"/>
    <col min="3313" max="3313" width="12" style="299" customWidth="1"/>
    <col min="3314" max="3314" width="11.42578125" style="299"/>
    <col min="3315" max="3315" width="9.7109375" style="299" customWidth="1"/>
    <col min="3316" max="3316" width="15.85546875" style="299" customWidth="1"/>
    <col min="3317" max="3328" width="11.42578125" style="299" customWidth="1"/>
    <col min="3329" max="3334" width="10.140625" style="299" customWidth="1"/>
    <col min="3335" max="3348" width="9.140625" style="299" customWidth="1"/>
    <col min="3349" max="3349" width="11.140625" style="299" customWidth="1"/>
    <col min="3350" max="3568" width="11.42578125" style="299"/>
    <col min="3569" max="3569" width="12" style="299" customWidth="1"/>
    <col min="3570" max="3570" width="11.42578125" style="299"/>
    <col min="3571" max="3571" width="9.7109375" style="299" customWidth="1"/>
    <col min="3572" max="3572" width="15.85546875" style="299" customWidth="1"/>
    <col min="3573" max="3584" width="11.42578125" style="299" customWidth="1"/>
    <col min="3585" max="3590" width="10.140625" style="299" customWidth="1"/>
    <col min="3591" max="3604" width="9.140625" style="299" customWidth="1"/>
    <col min="3605" max="3605" width="11.140625" style="299" customWidth="1"/>
    <col min="3606" max="3824" width="11.42578125" style="299"/>
    <col min="3825" max="3825" width="12" style="299" customWidth="1"/>
    <col min="3826" max="3826" width="11.42578125" style="299"/>
    <col min="3827" max="3827" width="9.7109375" style="299" customWidth="1"/>
    <col min="3828" max="3828" width="15.85546875" style="299" customWidth="1"/>
    <col min="3829" max="3840" width="11.42578125" style="299" customWidth="1"/>
    <col min="3841" max="3846" width="10.140625" style="299" customWidth="1"/>
    <col min="3847" max="3860" width="9.140625" style="299" customWidth="1"/>
    <col min="3861" max="3861" width="11.140625" style="299" customWidth="1"/>
    <col min="3862" max="4080" width="11.42578125" style="299"/>
    <col min="4081" max="4081" width="12" style="299" customWidth="1"/>
    <col min="4082" max="4082" width="11.42578125" style="299"/>
    <col min="4083" max="4083" width="9.7109375" style="299" customWidth="1"/>
    <col min="4084" max="4084" width="15.85546875" style="299" customWidth="1"/>
    <col min="4085" max="4096" width="11.42578125" style="299" customWidth="1"/>
    <col min="4097" max="4102" width="10.140625" style="299" customWidth="1"/>
    <col min="4103" max="4116" width="9.140625" style="299" customWidth="1"/>
    <col min="4117" max="4117" width="11.140625" style="299" customWidth="1"/>
    <col min="4118" max="4336" width="11.42578125" style="299"/>
    <col min="4337" max="4337" width="12" style="299" customWidth="1"/>
    <col min="4338" max="4338" width="11.42578125" style="299"/>
    <col min="4339" max="4339" width="9.7109375" style="299" customWidth="1"/>
    <col min="4340" max="4340" width="15.85546875" style="299" customWidth="1"/>
    <col min="4341" max="4352" width="11.42578125" style="299" customWidth="1"/>
    <col min="4353" max="4358" width="10.140625" style="299" customWidth="1"/>
    <col min="4359" max="4372" width="9.140625" style="299" customWidth="1"/>
    <col min="4373" max="4373" width="11.140625" style="299" customWidth="1"/>
    <col min="4374" max="4592" width="11.42578125" style="299"/>
    <col min="4593" max="4593" width="12" style="299" customWidth="1"/>
    <col min="4594" max="4594" width="11.42578125" style="299"/>
    <col min="4595" max="4595" width="9.7109375" style="299" customWidth="1"/>
    <col min="4596" max="4596" width="15.85546875" style="299" customWidth="1"/>
    <col min="4597" max="4608" width="11.42578125" style="299" customWidth="1"/>
    <col min="4609" max="4614" width="10.140625" style="299" customWidth="1"/>
    <col min="4615" max="4628" width="9.140625" style="299" customWidth="1"/>
    <col min="4629" max="4629" width="11.140625" style="299" customWidth="1"/>
    <col min="4630" max="4848" width="11.42578125" style="299"/>
    <col min="4849" max="4849" width="12" style="299" customWidth="1"/>
    <col min="4850" max="4850" width="11.42578125" style="299"/>
    <col min="4851" max="4851" width="9.7109375" style="299" customWidth="1"/>
    <col min="4852" max="4852" width="15.85546875" style="299" customWidth="1"/>
    <col min="4853" max="4864" width="11.42578125" style="299" customWidth="1"/>
    <col min="4865" max="4870" width="10.140625" style="299" customWidth="1"/>
    <col min="4871" max="4884" width="9.140625" style="299" customWidth="1"/>
    <col min="4885" max="4885" width="11.140625" style="299" customWidth="1"/>
    <col min="4886" max="5104" width="11.42578125" style="299"/>
    <col min="5105" max="5105" width="12" style="299" customWidth="1"/>
    <col min="5106" max="5106" width="11.42578125" style="299"/>
    <col min="5107" max="5107" width="9.7109375" style="299" customWidth="1"/>
    <col min="5108" max="5108" width="15.85546875" style="299" customWidth="1"/>
    <col min="5109" max="5120" width="11.42578125" style="299" customWidth="1"/>
    <col min="5121" max="5126" width="10.140625" style="299" customWidth="1"/>
    <col min="5127" max="5140" width="9.140625" style="299" customWidth="1"/>
    <col min="5141" max="5141" width="11.140625" style="299" customWidth="1"/>
    <col min="5142" max="5360" width="11.42578125" style="299"/>
    <col min="5361" max="5361" width="12" style="299" customWidth="1"/>
    <col min="5362" max="5362" width="11.42578125" style="299"/>
    <col min="5363" max="5363" width="9.7109375" style="299" customWidth="1"/>
    <col min="5364" max="5364" width="15.85546875" style="299" customWidth="1"/>
    <col min="5365" max="5376" width="11.42578125" style="299" customWidth="1"/>
    <col min="5377" max="5382" width="10.140625" style="299" customWidth="1"/>
    <col min="5383" max="5396" width="9.140625" style="299" customWidth="1"/>
    <col min="5397" max="5397" width="11.140625" style="299" customWidth="1"/>
    <col min="5398" max="5616" width="11.42578125" style="299"/>
    <col min="5617" max="5617" width="12" style="299" customWidth="1"/>
    <col min="5618" max="5618" width="11.42578125" style="299"/>
    <col min="5619" max="5619" width="9.7109375" style="299" customWidth="1"/>
    <col min="5620" max="5620" width="15.85546875" style="299" customWidth="1"/>
    <col min="5621" max="5632" width="11.42578125" style="299" customWidth="1"/>
    <col min="5633" max="5638" width="10.140625" style="299" customWidth="1"/>
    <col min="5639" max="5652" width="9.140625" style="299" customWidth="1"/>
    <col min="5653" max="5653" width="11.140625" style="299" customWidth="1"/>
    <col min="5654" max="5872" width="11.42578125" style="299"/>
    <col min="5873" max="5873" width="12" style="299" customWidth="1"/>
    <col min="5874" max="5874" width="11.42578125" style="299"/>
    <col min="5875" max="5875" width="9.7109375" style="299" customWidth="1"/>
    <col min="5876" max="5876" width="15.85546875" style="299" customWidth="1"/>
    <col min="5877" max="5888" width="11.42578125" style="299" customWidth="1"/>
    <col min="5889" max="5894" width="10.140625" style="299" customWidth="1"/>
    <col min="5895" max="5908" width="9.140625" style="299" customWidth="1"/>
    <col min="5909" max="5909" width="11.140625" style="299" customWidth="1"/>
    <col min="5910" max="6128" width="11.42578125" style="299"/>
    <col min="6129" max="6129" width="12" style="299" customWidth="1"/>
    <col min="6130" max="6130" width="11.42578125" style="299"/>
    <col min="6131" max="6131" width="9.7109375" style="299" customWidth="1"/>
    <col min="6132" max="6132" width="15.85546875" style="299" customWidth="1"/>
    <col min="6133" max="6144" width="11.42578125" style="299" customWidth="1"/>
    <col min="6145" max="6150" width="10.140625" style="299" customWidth="1"/>
    <col min="6151" max="6164" width="9.140625" style="299" customWidth="1"/>
    <col min="6165" max="6165" width="11.140625" style="299" customWidth="1"/>
    <col min="6166" max="6384" width="11.42578125" style="299"/>
    <col min="6385" max="6385" width="12" style="299" customWidth="1"/>
    <col min="6386" max="6386" width="11.42578125" style="299"/>
    <col min="6387" max="6387" width="9.7109375" style="299" customWidth="1"/>
    <col min="6388" max="6388" width="15.85546875" style="299" customWidth="1"/>
    <col min="6389" max="6400" width="11.42578125" style="299" customWidth="1"/>
    <col min="6401" max="6406" width="10.140625" style="299" customWidth="1"/>
    <col min="6407" max="6420" width="9.140625" style="299" customWidth="1"/>
    <col min="6421" max="6421" width="11.140625" style="299" customWidth="1"/>
    <col min="6422" max="6640" width="11.42578125" style="299"/>
    <col min="6641" max="6641" width="12" style="299" customWidth="1"/>
    <col min="6642" max="6642" width="11.42578125" style="299"/>
    <col min="6643" max="6643" width="9.7109375" style="299" customWidth="1"/>
    <col min="6644" max="6644" width="15.85546875" style="299" customWidth="1"/>
    <col min="6645" max="6656" width="11.42578125" style="299" customWidth="1"/>
    <col min="6657" max="6662" width="10.140625" style="299" customWidth="1"/>
    <col min="6663" max="6676" width="9.140625" style="299" customWidth="1"/>
    <col min="6677" max="6677" width="11.140625" style="299" customWidth="1"/>
    <col min="6678" max="6896" width="11.42578125" style="299"/>
    <col min="6897" max="6897" width="12" style="299" customWidth="1"/>
    <col min="6898" max="6898" width="11.42578125" style="299"/>
    <col min="6899" max="6899" width="9.7109375" style="299" customWidth="1"/>
    <col min="6900" max="6900" width="15.85546875" style="299" customWidth="1"/>
    <col min="6901" max="6912" width="11.42578125" style="299" customWidth="1"/>
    <col min="6913" max="6918" width="10.140625" style="299" customWidth="1"/>
    <col min="6919" max="6932" width="9.140625" style="299" customWidth="1"/>
    <col min="6933" max="6933" width="11.140625" style="299" customWidth="1"/>
    <col min="6934" max="7152" width="11.42578125" style="299"/>
    <col min="7153" max="7153" width="12" style="299" customWidth="1"/>
    <col min="7154" max="7154" width="11.42578125" style="299"/>
    <col min="7155" max="7155" width="9.7109375" style="299" customWidth="1"/>
    <col min="7156" max="7156" width="15.85546875" style="299" customWidth="1"/>
    <col min="7157" max="7168" width="11.42578125" style="299" customWidth="1"/>
    <col min="7169" max="7174" width="10.140625" style="299" customWidth="1"/>
    <col min="7175" max="7188" width="9.140625" style="299" customWidth="1"/>
    <col min="7189" max="7189" width="11.140625" style="299" customWidth="1"/>
    <col min="7190" max="7408" width="11.42578125" style="299"/>
    <col min="7409" max="7409" width="12" style="299" customWidth="1"/>
    <col min="7410" max="7410" width="11.42578125" style="299"/>
    <col min="7411" max="7411" width="9.7109375" style="299" customWidth="1"/>
    <col min="7412" max="7412" width="15.85546875" style="299" customWidth="1"/>
    <col min="7413" max="7424" width="11.42578125" style="299" customWidth="1"/>
    <col min="7425" max="7430" width="10.140625" style="299" customWidth="1"/>
    <col min="7431" max="7444" width="9.140625" style="299" customWidth="1"/>
    <col min="7445" max="7445" width="11.140625" style="299" customWidth="1"/>
    <col min="7446" max="7664" width="11.42578125" style="299"/>
    <col min="7665" max="7665" width="12" style="299" customWidth="1"/>
    <col min="7666" max="7666" width="11.42578125" style="299"/>
    <col min="7667" max="7667" width="9.7109375" style="299" customWidth="1"/>
    <col min="7668" max="7668" width="15.85546875" style="299" customWidth="1"/>
    <col min="7669" max="7680" width="11.42578125" style="299" customWidth="1"/>
    <col min="7681" max="7686" width="10.140625" style="299" customWidth="1"/>
    <col min="7687" max="7700" width="9.140625" style="299" customWidth="1"/>
    <col min="7701" max="7701" width="11.140625" style="299" customWidth="1"/>
    <col min="7702" max="7920" width="11.42578125" style="299"/>
    <col min="7921" max="7921" width="12" style="299" customWidth="1"/>
    <col min="7922" max="7922" width="11.42578125" style="299"/>
    <col min="7923" max="7923" width="9.7109375" style="299" customWidth="1"/>
    <col min="7924" max="7924" width="15.85546875" style="299" customWidth="1"/>
    <col min="7925" max="7936" width="11.42578125" style="299" customWidth="1"/>
    <col min="7937" max="7942" width="10.140625" style="299" customWidth="1"/>
    <col min="7943" max="7956" width="9.140625" style="299" customWidth="1"/>
    <col min="7957" max="7957" width="11.140625" style="299" customWidth="1"/>
    <col min="7958" max="8176" width="11.42578125" style="299"/>
    <col min="8177" max="8177" width="12" style="299" customWidth="1"/>
    <col min="8178" max="8178" width="11.42578125" style="299"/>
    <col min="8179" max="8179" width="9.7109375" style="299" customWidth="1"/>
    <col min="8180" max="8180" width="15.85546875" style="299" customWidth="1"/>
    <col min="8181" max="8192" width="11.42578125" style="299" customWidth="1"/>
    <col min="8193" max="8198" width="10.140625" style="299" customWidth="1"/>
    <col min="8199" max="8212" width="9.140625" style="299" customWidth="1"/>
    <col min="8213" max="8213" width="11.140625" style="299" customWidth="1"/>
    <col min="8214" max="8432" width="11.42578125" style="299"/>
    <col min="8433" max="8433" width="12" style="299" customWidth="1"/>
    <col min="8434" max="8434" width="11.42578125" style="299"/>
    <col min="8435" max="8435" width="9.7109375" style="299" customWidth="1"/>
    <col min="8436" max="8436" width="15.85546875" style="299" customWidth="1"/>
    <col min="8437" max="8448" width="11.42578125" style="299" customWidth="1"/>
    <col min="8449" max="8454" width="10.140625" style="299" customWidth="1"/>
    <col min="8455" max="8468" width="9.140625" style="299" customWidth="1"/>
    <col min="8469" max="8469" width="11.140625" style="299" customWidth="1"/>
    <col min="8470" max="8688" width="11.42578125" style="299"/>
    <col min="8689" max="8689" width="12" style="299" customWidth="1"/>
    <col min="8690" max="8690" width="11.42578125" style="299"/>
    <col min="8691" max="8691" width="9.7109375" style="299" customWidth="1"/>
    <col min="8692" max="8692" width="15.85546875" style="299" customWidth="1"/>
    <col min="8693" max="8704" width="11.42578125" style="299" customWidth="1"/>
    <col min="8705" max="8710" width="10.140625" style="299" customWidth="1"/>
    <col min="8711" max="8724" width="9.140625" style="299" customWidth="1"/>
    <col min="8725" max="8725" width="11.140625" style="299" customWidth="1"/>
    <col min="8726" max="8944" width="11.42578125" style="299"/>
    <col min="8945" max="8945" width="12" style="299" customWidth="1"/>
    <col min="8946" max="8946" width="11.42578125" style="299"/>
    <col min="8947" max="8947" width="9.7109375" style="299" customWidth="1"/>
    <col min="8948" max="8948" width="15.85546875" style="299" customWidth="1"/>
    <col min="8949" max="8960" width="11.42578125" style="299" customWidth="1"/>
    <col min="8961" max="8966" width="10.140625" style="299" customWidth="1"/>
    <col min="8967" max="8980" width="9.140625" style="299" customWidth="1"/>
    <col min="8981" max="8981" width="11.140625" style="299" customWidth="1"/>
    <col min="8982" max="9200" width="11.42578125" style="299"/>
    <col min="9201" max="9201" width="12" style="299" customWidth="1"/>
    <col min="9202" max="9202" width="11.42578125" style="299"/>
    <col min="9203" max="9203" width="9.7109375" style="299" customWidth="1"/>
    <col min="9204" max="9204" width="15.85546875" style="299" customWidth="1"/>
    <col min="9205" max="9216" width="11.42578125" style="299" customWidth="1"/>
    <col min="9217" max="9222" width="10.140625" style="299" customWidth="1"/>
    <col min="9223" max="9236" width="9.140625" style="299" customWidth="1"/>
    <col min="9237" max="9237" width="11.140625" style="299" customWidth="1"/>
    <col min="9238" max="9456" width="11.42578125" style="299"/>
    <col min="9457" max="9457" width="12" style="299" customWidth="1"/>
    <col min="9458" max="9458" width="11.42578125" style="299"/>
    <col min="9459" max="9459" width="9.7109375" style="299" customWidth="1"/>
    <col min="9460" max="9460" width="15.85546875" style="299" customWidth="1"/>
    <col min="9461" max="9472" width="11.42578125" style="299" customWidth="1"/>
    <col min="9473" max="9478" width="10.140625" style="299" customWidth="1"/>
    <col min="9479" max="9492" width="9.140625" style="299" customWidth="1"/>
    <col min="9493" max="9493" width="11.140625" style="299" customWidth="1"/>
    <col min="9494" max="9712" width="11.42578125" style="299"/>
    <col min="9713" max="9713" width="12" style="299" customWidth="1"/>
    <col min="9714" max="9714" width="11.42578125" style="299"/>
    <col min="9715" max="9715" width="9.7109375" style="299" customWidth="1"/>
    <col min="9716" max="9716" width="15.85546875" style="299" customWidth="1"/>
    <col min="9717" max="9728" width="11.42578125" style="299" customWidth="1"/>
    <col min="9729" max="9734" width="10.140625" style="299" customWidth="1"/>
    <col min="9735" max="9748" width="9.140625" style="299" customWidth="1"/>
    <col min="9749" max="9749" width="11.140625" style="299" customWidth="1"/>
    <col min="9750" max="9968" width="11.42578125" style="299"/>
    <col min="9969" max="9969" width="12" style="299" customWidth="1"/>
    <col min="9970" max="9970" width="11.42578125" style="299"/>
    <col min="9971" max="9971" width="9.7109375" style="299" customWidth="1"/>
    <col min="9972" max="9972" width="15.85546875" style="299" customWidth="1"/>
    <col min="9973" max="9984" width="11.42578125" style="299" customWidth="1"/>
    <col min="9985" max="9990" width="10.140625" style="299" customWidth="1"/>
    <col min="9991" max="10004" width="9.140625" style="299" customWidth="1"/>
    <col min="10005" max="10005" width="11.140625" style="299" customWidth="1"/>
    <col min="10006" max="10224" width="11.42578125" style="299"/>
    <col min="10225" max="10225" width="12" style="299" customWidth="1"/>
    <col min="10226" max="10226" width="11.42578125" style="299"/>
    <col min="10227" max="10227" width="9.7109375" style="299" customWidth="1"/>
    <col min="10228" max="10228" width="15.85546875" style="299" customWidth="1"/>
    <col min="10229" max="10240" width="11.42578125" style="299" customWidth="1"/>
    <col min="10241" max="10246" width="10.140625" style="299" customWidth="1"/>
    <col min="10247" max="10260" width="9.140625" style="299" customWidth="1"/>
    <col min="10261" max="10261" width="11.140625" style="299" customWidth="1"/>
    <col min="10262" max="10480" width="11.42578125" style="299"/>
    <col min="10481" max="10481" width="12" style="299" customWidth="1"/>
    <col min="10482" max="10482" width="11.42578125" style="299"/>
    <col min="10483" max="10483" width="9.7109375" style="299" customWidth="1"/>
    <col min="10484" max="10484" width="15.85546875" style="299" customWidth="1"/>
    <col min="10485" max="10496" width="11.42578125" style="299" customWidth="1"/>
    <col min="10497" max="10502" width="10.140625" style="299" customWidth="1"/>
    <col min="10503" max="10516" width="9.140625" style="299" customWidth="1"/>
    <col min="10517" max="10517" width="11.140625" style="299" customWidth="1"/>
    <col min="10518" max="10736" width="11.42578125" style="299"/>
    <col min="10737" max="10737" width="12" style="299" customWidth="1"/>
    <col min="10738" max="10738" width="11.42578125" style="299"/>
    <col min="10739" max="10739" width="9.7109375" style="299" customWidth="1"/>
    <col min="10740" max="10740" width="15.85546875" style="299" customWidth="1"/>
    <col min="10741" max="10752" width="11.42578125" style="299" customWidth="1"/>
    <col min="10753" max="10758" width="10.140625" style="299" customWidth="1"/>
    <col min="10759" max="10772" width="9.140625" style="299" customWidth="1"/>
    <col min="10773" max="10773" width="11.140625" style="299" customWidth="1"/>
    <col min="10774" max="10992" width="11.42578125" style="299"/>
    <col min="10993" max="10993" width="12" style="299" customWidth="1"/>
    <col min="10994" max="10994" width="11.42578125" style="299"/>
    <col min="10995" max="10995" width="9.7109375" style="299" customWidth="1"/>
    <col min="10996" max="10996" width="15.85546875" style="299" customWidth="1"/>
    <col min="10997" max="11008" width="11.42578125" style="299" customWidth="1"/>
    <col min="11009" max="11014" width="10.140625" style="299" customWidth="1"/>
    <col min="11015" max="11028" width="9.140625" style="299" customWidth="1"/>
    <col min="11029" max="11029" width="11.140625" style="299" customWidth="1"/>
    <col min="11030" max="11248" width="11.42578125" style="299"/>
    <col min="11249" max="11249" width="12" style="299" customWidth="1"/>
    <col min="11250" max="11250" width="11.42578125" style="299"/>
    <col min="11251" max="11251" width="9.7109375" style="299" customWidth="1"/>
    <col min="11252" max="11252" width="15.85546875" style="299" customWidth="1"/>
    <col min="11253" max="11264" width="11.42578125" style="299" customWidth="1"/>
    <col min="11265" max="11270" width="10.140625" style="299" customWidth="1"/>
    <col min="11271" max="11284" width="9.140625" style="299" customWidth="1"/>
    <col min="11285" max="11285" width="11.140625" style="299" customWidth="1"/>
    <col min="11286" max="11504" width="11.42578125" style="299"/>
    <col min="11505" max="11505" width="12" style="299" customWidth="1"/>
    <col min="11506" max="11506" width="11.42578125" style="299"/>
    <col min="11507" max="11507" width="9.7109375" style="299" customWidth="1"/>
    <col min="11508" max="11508" width="15.85546875" style="299" customWidth="1"/>
    <col min="11509" max="11520" width="11.42578125" style="299" customWidth="1"/>
    <col min="11521" max="11526" width="10.140625" style="299" customWidth="1"/>
    <col min="11527" max="11540" width="9.140625" style="299" customWidth="1"/>
    <col min="11541" max="11541" width="11.140625" style="299" customWidth="1"/>
    <col min="11542" max="11760" width="11.42578125" style="299"/>
    <col min="11761" max="11761" width="12" style="299" customWidth="1"/>
    <col min="11762" max="11762" width="11.42578125" style="299"/>
    <col min="11763" max="11763" width="9.7109375" style="299" customWidth="1"/>
    <col min="11764" max="11764" width="15.85546875" style="299" customWidth="1"/>
    <col min="11765" max="11776" width="11.42578125" style="299" customWidth="1"/>
    <col min="11777" max="11782" width="10.140625" style="299" customWidth="1"/>
    <col min="11783" max="11796" width="9.140625" style="299" customWidth="1"/>
    <col min="11797" max="11797" width="11.140625" style="299" customWidth="1"/>
    <col min="11798" max="12016" width="11.42578125" style="299"/>
    <col min="12017" max="12017" width="12" style="299" customWidth="1"/>
    <col min="12018" max="12018" width="11.42578125" style="299"/>
    <col min="12019" max="12019" width="9.7109375" style="299" customWidth="1"/>
    <col min="12020" max="12020" width="15.85546875" style="299" customWidth="1"/>
    <col min="12021" max="12032" width="11.42578125" style="299" customWidth="1"/>
    <col min="12033" max="12038" width="10.140625" style="299" customWidth="1"/>
    <col min="12039" max="12052" width="9.140625" style="299" customWidth="1"/>
    <col min="12053" max="12053" width="11.140625" style="299" customWidth="1"/>
    <col min="12054" max="12272" width="11.42578125" style="299"/>
    <col min="12273" max="12273" width="12" style="299" customWidth="1"/>
    <col min="12274" max="12274" width="11.42578125" style="299"/>
    <col min="12275" max="12275" width="9.7109375" style="299" customWidth="1"/>
    <col min="12276" max="12276" width="15.85546875" style="299" customWidth="1"/>
    <col min="12277" max="12288" width="11.42578125" style="299" customWidth="1"/>
    <col min="12289" max="12294" width="10.140625" style="299" customWidth="1"/>
    <col min="12295" max="12308" width="9.140625" style="299" customWidth="1"/>
    <col min="12309" max="12309" width="11.140625" style="299" customWidth="1"/>
    <col min="12310" max="12528" width="11.42578125" style="299"/>
    <col min="12529" max="12529" width="12" style="299" customWidth="1"/>
    <col min="12530" max="12530" width="11.42578125" style="299"/>
    <col min="12531" max="12531" width="9.7109375" style="299" customWidth="1"/>
    <col min="12532" max="12532" width="15.85546875" style="299" customWidth="1"/>
    <col min="12533" max="12544" width="11.42578125" style="299" customWidth="1"/>
    <col min="12545" max="12550" width="10.140625" style="299" customWidth="1"/>
    <col min="12551" max="12564" width="9.140625" style="299" customWidth="1"/>
    <col min="12565" max="12565" width="11.140625" style="299" customWidth="1"/>
    <col min="12566" max="12784" width="11.42578125" style="299"/>
    <col min="12785" max="12785" width="12" style="299" customWidth="1"/>
    <col min="12786" max="12786" width="11.42578125" style="299"/>
    <col min="12787" max="12787" width="9.7109375" style="299" customWidth="1"/>
    <col min="12788" max="12788" width="15.85546875" style="299" customWidth="1"/>
    <col min="12789" max="12800" width="11.42578125" style="299" customWidth="1"/>
    <col min="12801" max="12806" width="10.140625" style="299" customWidth="1"/>
    <col min="12807" max="12820" width="9.140625" style="299" customWidth="1"/>
    <col min="12821" max="12821" width="11.140625" style="299" customWidth="1"/>
    <col min="12822" max="13040" width="11.42578125" style="299"/>
    <col min="13041" max="13041" width="12" style="299" customWidth="1"/>
    <col min="13042" max="13042" width="11.42578125" style="299"/>
    <col min="13043" max="13043" width="9.7109375" style="299" customWidth="1"/>
    <col min="13044" max="13044" width="15.85546875" style="299" customWidth="1"/>
    <col min="13045" max="13056" width="11.42578125" style="299" customWidth="1"/>
    <col min="13057" max="13062" width="10.140625" style="299" customWidth="1"/>
    <col min="13063" max="13076" width="9.140625" style="299" customWidth="1"/>
    <col min="13077" max="13077" width="11.140625" style="299" customWidth="1"/>
    <col min="13078" max="13296" width="11.42578125" style="299"/>
    <col min="13297" max="13297" width="12" style="299" customWidth="1"/>
    <col min="13298" max="13298" width="11.42578125" style="299"/>
    <col min="13299" max="13299" width="9.7109375" style="299" customWidth="1"/>
    <col min="13300" max="13300" width="15.85546875" style="299" customWidth="1"/>
    <col min="13301" max="13312" width="11.42578125" style="299" customWidth="1"/>
    <col min="13313" max="13318" width="10.140625" style="299" customWidth="1"/>
    <col min="13319" max="13332" width="9.140625" style="299" customWidth="1"/>
    <col min="13333" max="13333" width="11.140625" style="299" customWidth="1"/>
    <col min="13334" max="13552" width="11.42578125" style="299"/>
    <col min="13553" max="13553" width="12" style="299" customWidth="1"/>
    <col min="13554" max="13554" width="11.42578125" style="299"/>
    <col min="13555" max="13555" width="9.7109375" style="299" customWidth="1"/>
    <col min="13556" max="13556" width="15.85546875" style="299" customWidth="1"/>
    <col min="13557" max="13568" width="11.42578125" style="299" customWidth="1"/>
    <col min="13569" max="13574" width="10.140625" style="299" customWidth="1"/>
    <col min="13575" max="13588" width="9.140625" style="299" customWidth="1"/>
    <col min="13589" max="13589" width="11.140625" style="299" customWidth="1"/>
    <col min="13590" max="13808" width="11.42578125" style="299"/>
    <col min="13809" max="13809" width="12" style="299" customWidth="1"/>
    <col min="13810" max="13810" width="11.42578125" style="299"/>
    <col min="13811" max="13811" width="9.7109375" style="299" customWidth="1"/>
    <col min="13812" max="13812" width="15.85546875" style="299" customWidth="1"/>
    <col min="13813" max="13824" width="11.42578125" style="299" customWidth="1"/>
    <col min="13825" max="13830" width="10.140625" style="299" customWidth="1"/>
    <col min="13831" max="13844" width="9.140625" style="299" customWidth="1"/>
    <col min="13845" max="13845" width="11.140625" style="299" customWidth="1"/>
    <col min="13846" max="14064" width="11.42578125" style="299"/>
    <col min="14065" max="14065" width="12" style="299" customWidth="1"/>
    <col min="14066" max="14066" width="11.42578125" style="299"/>
    <col min="14067" max="14067" width="9.7109375" style="299" customWidth="1"/>
    <col min="14068" max="14068" width="15.85546875" style="299" customWidth="1"/>
    <col min="14069" max="14080" width="11.42578125" style="299" customWidth="1"/>
    <col min="14081" max="14086" width="10.140625" style="299" customWidth="1"/>
    <col min="14087" max="14100" width="9.140625" style="299" customWidth="1"/>
    <col min="14101" max="14101" width="11.140625" style="299" customWidth="1"/>
    <col min="14102" max="14320" width="11.42578125" style="299"/>
    <col min="14321" max="14321" width="12" style="299" customWidth="1"/>
    <col min="14322" max="14322" width="11.42578125" style="299"/>
    <col min="14323" max="14323" width="9.7109375" style="299" customWidth="1"/>
    <col min="14324" max="14324" width="15.85546875" style="299" customWidth="1"/>
    <col min="14325" max="14336" width="11.42578125" style="299" customWidth="1"/>
    <col min="14337" max="14342" width="10.140625" style="299" customWidth="1"/>
    <col min="14343" max="14356" width="9.140625" style="299" customWidth="1"/>
    <col min="14357" max="14357" width="11.140625" style="299" customWidth="1"/>
    <col min="14358" max="14576" width="11.42578125" style="299"/>
    <col min="14577" max="14577" width="12" style="299" customWidth="1"/>
    <col min="14578" max="14578" width="11.42578125" style="299"/>
    <col min="14579" max="14579" width="9.7109375" style="299" customWidth="1"/>
    <col min="14580" max="14580" width="15.85546875" style="299" customWidth="1"/>
    <col min="14581" max="14592" width="11.42578125" style="299" customWidth="1"/>
    <col min="14593" max="14598" width="10.140625" style="299" customWidth="1"/>
    <col min="14599" max="14612" width="9.140625" style="299" customWidth="1"/>
    <col min="14613" max="14613" width="11.140625" style="299" customWidth="1"/>
    <col min="14614" max="14832" width="11.42578125" style="299"/>
    <col min="14833" max="14833" width="12" style="299" customWidth="1"/>
    <col min="14834" max="14834" width="11.42578125" style="299"/>
    <col min="14835" max="14835" width="9.7109375" style="299" customWidth="1"/>
    <col min="14836" max="14836" width="15.85546875" style="299" customWidth="1"/>
    <col min="14837" max="14848" width="11.42578125" style="299" customWidth="1"/>
    <col min="14849" max="14854" width="10.140625" style="299" customWidth="1"/>
    <col min="14855" max="14868" width="9.140625" style="299" customWidth="1"/>
    <col min="14869" max="14869" width="11.140625" style="299" customWidth="1"/>
    <col min="14870" max="15088" width="11.42578125" style="299"/>
    <col min="15089" max="15089" width="12" style="299" customWidth="1"/>
    <col min="15090" max="15090" width="11.42578125" style="299"/>
    <col min="15091" max="15091" width="9.7109375" style="299" customWidth="1"/>
    <col min="15092" max="15092" width="15.85546875" style="299" customWidth="1"/>
    <col min="15093" max="15104" width="11.42578125" style="299" customWidth="1"/>
    <col min="15105" max="15110" width="10.140625" style="299" customWidth="1"/>
    <col min="15111" max="15124" width="9.140625" style="299" customWidth="1"/>
    <col min="15125" max="15125" width="11.140625" style="299" customWidth="1"/>
    <col min="15126" max="15344" width="11.42578125" style="299"/>
    <col min="15345" max="15345" width="12" style="299" customWidth="1"/>
    <col min="15346" max="15346" width="11.42578125" style="299"/>
    <col min="15347" max="15347" width="9.7109375" style="299" customWidth="1"/>
    <col min="15348" max="15348" width="15.85546875" style="299" customWidth="1"/>
    <col min="15349" max="15360" width="11.42578125" style="299" customWidth="1"/>
    <col min="15361" max="15366" width="10.140625" style="299" customWidth="1"/>
    <col min="15367" max="15380" width="9.140625" style="299" customWidth="1"/>
    <col min="15381" max="15381" width="11.140625" style="299" customWidth="1"/>
    <col min="15382" max="15600" width="11.42578125" style="299"/>
    <col min="15601" max="15601" width="12" style="299" customWidth="1"/>
    <col min="15602" max="15602" width="11.42578125" style="299"/>
    <col min="15603" max="15603" width="9.7109375" style="299" customWidth="1"/>
    <col min="15604" max="15604" width="15.85546875" style="299" customWidth="1"/>
    <col min="15605" max="15616" width="11.42578125" style="299" customWidth="1"/>
    <col min="15617" max="15622" width="10.140625" style="299" customWidth="1"/>
    <col min="15623" max="15636" width="9.140625" style="299" customWidth="1"/>
    <col min="15637" max="15637" width="11.140625" style="299" customWidth="1"/>
    <col min="15638" max="15856" width="11.42578125" style="299"/>
    <col min="15857" max="15857" width="12" style="299" customWidth="1"/>
    <col min="15858" max="15858" width="11.42578125" style="299"/>
    <col min="15859" max="15859" width="9.7109375" style="299" customWidth="1"/>
    <col min="15860" max="15860" width="15.85546875" style="299" customWidth="1"/>
    <col min="15861" max="15872" width="11.42578125" style="299" customWidth="1"/>
    <col min="15873" max="15878" width="10.140625" style="299" customWidth="1"/>
    <col min="15879" max="15892" width="9.140625" style="299" customWidth="1"/>
    <col min="15893" max="15893" width="11.140625" style="299" customWidth="1"/>
    <col min="15894" max="16112" width="11.42578125" style="299"/>
    <col min="16113" max="16113" width="12" style="299" customWidth="1"/>
    <col min="16114" max="16114" width="11.42578125" style="299"/>
    <col min="16115" max="16115" width="9.7109375" style="299" customWidth="1"/>
    <col min="16116" max="16116" width="15.85546875" style="299" customWidth="1"/>
    <col min="16117" max="16128" width="11.42578125" style="299" customWidth="1"/>
    <col min="16129" max="16134" width="10.140625" style="299" customWidth="1"/>
    <col min="16135" max="16148" width="9.140625" style="299" customWidth="1"/>
    <col min="16149" max="16149" width="11.140625" style="299" customWidth="1"/>
    <col min="16150" max="16384" width="11.42578125" style="299"/>
  </cols>
  <sheetData>
    <row r="1" spans="2:8" ht="12.75">
      <c r="C1" s="300"/>
    </row>
    <row r="2" spans="2:8" ht="12.75">
      <c r="C2" s="300"/>
    </row>
    <row r="6" spans="2:8" ht="23.25" customHeight="1" thickBot="1">
      <c r="B6" s="301" t="s">
        <v>199</v>
      </c>
      <c r="C6" s="302"/>
      <c r="D6" s="302"/>
      <c r="E6" s="302"/>
      <c r="F6" s="302"/>
    </row>
    <row r="7" spans="2:8" ht="36.75" thickBot="1">
      <c r="B7" s="303"/>
      <c r="C7" s="304" t="s">
        <v>200</v>
      </c>
      <c r="D7" s="304" t="s">
        <v>201</v>
      </c>
      <c r="E7" s="304" t="s">
        <v>202</v>
      </c>
      <c r="F7" s="304" t="s">
        <v>203</v>
      </c>
      <c r="H7" s="60" t="s">
        <v>49</v>
      </c>
    </row>
    <row r="8" spans="2:8" ht="12.75" hidden="1">
      <c r="B8" s="305" t="s">
        <v>204</v>
      </c>
      <c r="C8" s="203">
        <f>GETPIVOTDATA("dato",'[1]tabla dinámica men'!$A$18,"mes",12,"año",2010)</f>
        <v>0</v>
      </c>
      <c r="D8" s="39" t="str">
        <f t="shared" ref="D8:D18" si="0">IFERROR((C8-C9)/C9,"-")</f>
        <v>-</v>
      </c>
      <c r="E8" s="39">
        <f>C8/C21-1</f>
        <v>-1</v>
      </c>
      <c r="F8" s="306">
        <f>((SUM(C8:C19)/SUM(C21:C32))-1)</f>
        <v>-0.40651024753324827</v>
      </c>
    </row>
    <row r="9" spans="2:8" ht="12.75" hidden="1">
      <c r="B9" s="305" t="s">
        <v>205</v>
      </c>
      <c r="C9" s="203">
        <f>GETPIVOTDATA("dato",'[1]tabla dinámica men'!$A$18,"mes",11,"año",2010)</f>
        <v>0</v>
      </c>
      <c r="D9" s="39" t="str">
        <f t="shared" si="0"/>
        <v>-</v>
      </c>
      <c r="E9" s="39">
        <f t="shared" ref="E9:E59" si="1">C9/C22-1</f>
        <v>-1</v>
      </c>
      <c r="F9" s="306">
        <f>((SUM(C9:C19,C21)/SUM(C22:C32,C34))-1)</f>
        <v>-0.33038178431266163</v>
      </c>
    </row>
    <row r="10" spans="2:8" ht="12.75" hidden="1">
      <c r="B10" s="305" t="s">
        <v>206</v>
      </c>
      <c r="C10" s="203">
        <f>GETPIVOTDATA("dato",'[1]tabla dinámica men'!$A$18,"mes",10,"año",2010)</f>
        <v>0</v>
      </c>
      <c r="D10" s="39" t="str">
        <f t="shared" si="0"/>
        <v>-</v>
      </c>
      <c r="E10" s="39">
        <f t="shared" si="1"/>
        <v>-1</v>
      </c>
      <c r="F10" s="306">
        <f>((SUM(C10:C19,C21:C22)/SUM(C23:C32,C34:C35))-1)</f>
        <v>-0.25958168726427044</v>
      </c>
    </row>
    <row r="11" spans="2:8" ht="12.75" hidden="1">
      <c r="B11" s="305" t="s">
        <v>207</v>
      </c>
      <c r="C11" s="203">
        <f>GETPIVOTDATA("dato",'[1]tabla dinámica men'!$A$18,"mes",9,"año",2010)</f>
        <v>0</v>
      </c>
      <c r="D11" s="39" t="str">
        <f t="shared" si="0"/>
        <v>-</v>
      </c>
      <c r="E11" s="39">
        <f t="shared" si="1"/>
        <v>-1</v>
      </c>
      <c r="F11" s="306">
        <f>((SUM(C11:C19,C21:C23)/SUM(C24:C32,C34:C36))-1)</f>
        <v>-0.18027670413578711</v>
      </c>
    </row>
    <row r="12" spans="2:8" ht="12.75" hidden="1">
      <c r="B12" s="305" t="s">
        <v>208</v>
      </c>
      <c r="C12" s="203">
        <f>GETPIVOTDATA("dato",'[1]tabla dinámica men'!$A$18,"mes",8,"año",2010)</f>
        <v>0</v>
      </c>
      <c r="D12" s="39">
        <f t="shared" si="0"/>
        <v>-1</v>
      </c>
      <c r="E12" s="39">
        <f t="shared" si="1"/>
        <v>-1</v>
      </c>
      <c r="F12" s="306">
        <f>((SUM(C12:C19,C21:C24)/SUM(C25:C32,C34:C37))-1)</f>
        <v>-0.11337229933632664</v>
      </c>
    </row>
    <row r="13" spans="2:8" ht="12.75">
      <c r="B13" s="305" t="s">
        <v>209</v>
      </c>
      <c r="C13" s="203">
        <f>GETPIVOTDATA("dato",'[1]tabla dinámica men'!$A$18,"mes",7,"año",2010)</f>
        <v>163371</v>
      </c>
      <c r="D13" s="39">
        <f t="shared" si="0"/>
        <v>0.26745385850718018</v>
      </c>
      <c r="E13" s="39">
        <f t="shared" si="1"/>
        <v>7.2466717432975392E-2</v>
      </c>
      <c r="F13" s="306">
        <f>((SUM(C13:C19,C21:C25)/SUM(C26:C32,C34:C38))-1)</f>
        <v>-2.3665379303779099E-2</v>
      </c>
    </row>
    <row r="14" spans="2:8" ht="12.75">
      <c r="B14" s="305" t="s">
        <v>210</v>
      </c>
      <c r="C14" s="203">
        <f>GETPIVOTDATA("dato",'[1]tabla dinámica men'!$A$18,"mes",6,"año",2010)</f>
        <v>128897</v>
      </c>
      <c r="D14" s="39">
        <f t="shared" si="0"/>
        <v>-2.7331929761015401E-2</v>
      </c>
      <c r="E14" s="39">
        <f t="shared" si="1"/>
        <v>6.1868239597320906E-2</v>
      </c>
      <c r="F14" s="306">
        <f>((SUM(C14:C19,C21:C26)/SUM(C27:C32,C34:C39))-1)</f>
        <v>-3.508175173713779E-2</v>
      </c>
    </row>
    <row r="15" spans="2:8" ht="12.75">
      <c r="B15" s="305" t="s">
        <v>211</v>
      </c>
      <c r="C15" s="203">
        <f>GETPIVOTDATA("dato",'[1]tabla dinámica men'!$A$18,"mes",5,"año",2010)</f>
        <v>132519</v>
      </c>
      <c r="D15" s="39">
        <f t="shared" si="0"/>
        <v>-0.15383338335110561</v>
      </c>
      <c r="E15" s="39">
        <f t="shared" si="1"/>
        <v>6.9693667514227009E-2</v>
      </c>
      <c r="F15" s="306">
        <f>((SUM(C15:C19,C21:C27)/SUM(C28:C32,C34:C40))-1)</f>
        <v>-5.3077036935829103E-2</v>
      </c>
    </row>
    <row r="16" spans="2:8" ht="12.75">
      <c r="B16" s="305" t="s">
        <v>212</v>
      </c>
      <c r="C16" s="203">
        <f>GETPIVOTDATA("dato",'[1]tabla dinámica men'!$A$18,"mes",4,"año",2010)</f>
        <v>156611</v>
      </c>
      <c r="D16" s="39">
        <f t="shared" si="0"/>
        <v>0.11602733576096173</v>
      </c>
      <c r="E16" s="39">
        <f t="shared" si="1"/>
        <v>9.4975074636257428E-2</v>
      </c>
      <c r="F16" s="306">
        <f>((SUM(C16:C19,C21:C28)/SUM(C29:C32,C34:C41))-1)</f>
        <v>-7.3613521593568376E-2</v>
      </c>
    </row>
    <row r="17" spans="2:6" ht="12.75">
      <c r="B17" s="305" t="s">
        <v>213</v>
      </c>
      <c r="C17" s="203">
        <f>GETPIVOTDATA("dato",'[1]tabla dinámica men'!$A$18,"mes",3,"año",2010)</f>
        <v>140329</v>
      </c>
      <c r="D17" s="39">
        <f t="shared" si="0"/>
        <v>0.11888150918122453</v>
      </c>
      <c r="E17" s="39">
        <f t="shared" si="1"/>
        <v>3.8927675074590384E-2</v>
      </c>
      <c r="F17" s="306">
        <f>((SUM(C17:C19,C21:C29)/SUM(C30:C32,C34:C42))-1)</f>
        <v>-8.6839623297675472E-2</v>
      </c>
    </row>
    <row r="18" spans="2:6" ht="12.75">
      <c r="B18" s="305" t="s">
        <v>214</v>
      </c>
      <c r="C18" s="203">
        <f>GETPIVOTDATA("dato",'[1]tabla dinámica men'!$A$18,"mes",2,"año",2010)</f>
        <v>125419</v>
      </c>
      <c r="D18" s="39">
        <f t="shared" si="0"/>
        <v>-4.6511627906976744E-2</v>
      </c>
      <c r="E18" s="39">
        <f t="shared" si="1"/>
        <v>-6.2582217172925114E-2</v>
      </c>
      <c r="F18" s="306">
        <f>((SUM(C18:C19,C21:C30)/SUM(C31:C32,C34:C43))-1)</f>
        <v>-0.11362460316729261</v>
      </c>
    </row>
    <row r="19" spans="2:6" ht="12.75">
      <c r="B19" s="305" t="s">
        <v>215</v>
      </c>
      <c r="C19" s="203">
        <f>GETPIVOTDATA("dato",'[1]tabla dinámica men'!$A$18,"mes",1,"año",2010)</f>
        <v>131537</v>
      </c>
      <c r="D19" s="39" t="s">
        <v>216</v>
      </c>
      <c r="E19" s="39">
        <f t="shared" si="1"/>
        <v>-3.5256410256410242E-2</v>
      </c>
      <c r="F19" s="306">
        <f>((SUM(C19,C21:C31)/SUM(C32,C34:C44))-1)</f>
        <v>-0.12541881359331031</v>
      </c>
    </row>
    <row r="20" spans="2:6" ht="24">
      <c r="B20" s="307" t="s">
        <v>54</v>
      </c>
      <c r="C20" s="308">
        <f>GETPIVOTDATA("dato",'[1]tabla dinámica men'!$A$18,"año",2010)</f>
        <v>978683</v>
      </c>
      <c r="D20" s="309"/>
      <c r="E20" s="309">
        <f>(C19+C18+C17+C16+C15+C14+C13)/(C32+C31+C30+C29+C28+C27+C26)-1</f>
        <v>3.4725819854985795E-2</v>
      </c>
      <c r="F20" s="309" t="s">
        <v>216</v>
      </c>
    </row>
    <row r="21" spans="2:6" ht="12.75" hidden="1" outlineLevel="1">
      <c r="B21" s="305" t="s">
        <v>204</v>
      </c>
      <c r="C21" s="203">
        <f>GETPIVOTDATA("dato",'[1]tabla dinámica men'!$A$18,"mes",12,"año",2009)</f>
        <v>132073</v>
      </c>
      <c r="D21" s="39">
        <f t="shared" ref="D21:D31" si="2">IFERROR((C21-C22)/C22,"-")</f>
        <v>8.9070867104127354E-3</v>
      </c>
      <c r="E21" s="39">
        <f t="shared" si="1"/>
        <v>-6.8806757290315268E-2</v>
      </c>
      <c r="F21" s="306">
        <f>((SUM(C21:C32)/SUM(C34:C45))-1)</f>
        <v>-0.12786598265284532</v>
      </c>
    </row>
    <row r="22" spans="2:6" ht="12.75" hidden="1" outlineLevel="1">
      <c r="B22" s="305" t="s">
        <v>205</v>
      </c>
      <c r="C22" s="203">
        <f>GETPIVOTDATA("dato",'[1]tabla dinámica men'!$A$18,"mes",11,"año",2009)</f>
        <v>130907</v>
      </c>
      <c r="D22" s="39">
        <f t="shared" si="2"/>
        <v>-9.9416612776730556E-2</v>
      </c>
      <c r="E22" s="39">
        <f t="shared" si="1"/>
        <v>-0.12197166849998664</v>
      </c>
      <c r="F22" s="306">
        <f>((SUM(C22:C32,C34)/SUM(C35:C45,C47))-1)</f>
        <v>-0.12629137210162222</v>
      </c>
    </row>
    <row r="23" spans="2:6" ht="12.75" hidden="1" outlineLevel="1">
      <c r="B23" s="305" t="s">
        <v>206</v>
      </c>
      <c r="C23" s="203">
        <f>GETPIVOTDATA("dato",'[1]tabla dinámica men'!$A$18,"mes",10,"año",2009)</f>
        <v>145358</v>
      </c>
      <c r="D23" s="39">
        <f t="shared" si="2"/>
        <v>0.16664392632128094</v>
      </c>
      <c r="E23" s="39">
        <f t="shared" si="1"/>
        <v>-9.402092955130481E-2</v>
      </c>
      <c r="F23" s="306">
        <f>((SUM(C23:C32,C34:C35)/SUM(C36:C45,C47:C48))-1)</f>
        <v>-0.1244075173633048</v>
      </c>
    </row>
    <row r="24" spans="2:6" ht="12.75" hidden="1" outlineLevel="1">
      <c r="B24" s="305" t="s">
        <v>207</v>
      </c>
      <c r="C24" s="203">
        <f>GETPIVOTDATA("dato",'[1]tabla dinámica men'!$A$18,"mes",9,"año",2009)</f>
        <v>124595</v>
      </c>
      <c r="D24" s="39">
        <f t="shared" si="2"/>
        <v>-0.26820744743333724</v>
      </c>
      <c r="E24" s="39">
        <f t="shared" si="1"/>
        <v>-9.3458963911525084E-2</v>
      </c>
      <c r="F24" s="306">
        <f>((SUM(C24:C32,C34:C36)/SUM(C37:C45,C47:C49))-1)</f>
        <v>-0.12130449458624359</v>
      </c>
    </row>
    <row r="25" spans="2:6" ht="12.75" hidden="1" outlineLevel="1">
      <c r="B25" s="305" t="s">
        <v>208</v>
      </c>
      <c r="C25" s="203">
        <f>GETPIVOTDATA("dato",'[1]tabla dinámica men'!$A$18,"mes",8,"año",2009)</f>
        <v>170260</v>
      </c>
      <c r="D25" s="39">
        <f t="shared" si="2"/>
        <v>0.11769030801144868</v>
      </c>
      <c r="E25" s="39">
        <f t="shared" si="1"/>
        <v>-9.4352067575186993E-2</v>
      </c>
      <c r="F25" s="306">
        <f>((SUM(C25:C32,C34:C37)/SUM(C38:C45,C47:C50))-1)</f>
        <v>-0.1168962950569854</v>
      </c>
    </row>
    <row r="26" spans="2:6" ht="12.75" hidden="1" outlineLevel="1">
      <c r="B26" s="305" t="s">
        <v>209</v>
      </c>
      <c r="C26" s="203">
        <f>GETPIVOTDATA("dato",'[1]tabla dinámica men'!$A$18,"mes",7,"año",2009)</f>
        <v>152332</v>
      </c>
      <c r="D26" s="39">
        <f t="shared" si="2"/>
        <v>0.25492845197591174</v>
      </c>
      <c r="E26" s="39">
        <f t="shared" si="1"/>
        <v>-5.5440154272568876E-2</v>
      </c>
      <c r="F26" s="306">
        <f>((SUM(C26:C32,C34:C38)/SUM(C39:C45,C47:C51))-1)</f>
        <v>-0.10661815232335192</v>
      </c>
    </row>
    <row r="27" spans="2:6" ht="12.75" hidden="1" outlineLevel="1">
      <c r="B27" s="305" t="s">
        <v>210</v>
      </c>
      <c r="C27" s="203">
        <f>GETPIVOTDATA("dato",'[1]tabla dinámica men'!$A$18,"mes",6,"año",2009)</f>
        <v>121387</v>
      </c>
      <c r="D27" s="39">
        <f t="shared" si="2"/>
        <v>-2.016386164588126E-2</v>
      </c>
      <c r="E27" s="39">
        <f t="shared" si="1"/>
        <v>-0.17064422019226166</v>
      </c>
      <c r="F27" s="306">
        <f>((SUM(C27:C32,C34:C39)/SUM(C40:C45,C47:C52))-1)</f>
        <v>-0.10153673091461357</v>
      </c>
    </row>
    <row r="28" spans="2:6" ht="12.75" hidden="1" outlineLevel="1">
      <c r="B28" s="305" t="s">
        <v>211</v>
      </c>
      <c r="C28" s="203">
        <f>GETPIVOTDATA("dato",'[1]tabla dinámica men'!$A$18,"mes",5,"año",2009)</f>
        <v>123885</v>
      </c>
      <c r="D28" s="39">
        <f t="shared" si="2"/>
        <v>-0.13383487033916672</v>
      </c>
      <c r="E28" s="39">
        <f t="shared" si="1"/>
        <v>-0.19295788410800951</v>
      </c>
      <c r="F28" s="306">
        <f>((SUM(C28:C32,C34:C40)/SUM(C41:C45,C47:C53))-1)</f>
        <v>-8.7698450620541268E-2</v>
      </c>
    </row>
    <row r="29" spans="2:6" ht="12.75" hidden="1" outlineLevel="1">
      <c r="B29" s="305" t="s">
        <v>212</v>
      </c>
      <c r="C29" s="203">
        <f>GETPIVOTDATA("dato",'[1]tabla dinámica men'!$A$18,"mes",4,"año",2009)</f>
        <v>143027</v>
      </c>
      <c r="D29" s="39">
        <f t="shared" si="2"/>
        <v>5.8902355057710389E-2</v>
      </c>
      <c r="E29" s="39">
        <f t="shared" si="1"/>
        <v>-7.1385905909545411E-2</v>
      </c>
      <c r="F29" s="306">
        <f>((SUM(C29:C32,C34:C41)/SUM(C42:C45,C47:C54))-1)</f>
        <v>-5.394962709986395E-2</v>
      </c>
    </row>
    <row r="30" spans="2:6" ht="12.75" hidden="1" outlineLevel="1">
      <c r="B30" s="305" t="s">
        <v>213</v>
      </c>
      <c r="C30" s="203">
        <f>GETPIVOTDATA("dato",'[1]tabla dinámica men'!$A$18,"mes",3,"año",2009)</f>
        <v>135071</v>
      </c>
      <c r="D30" s="39">
        <f t="shared" si="2"/>
        <v>9.5596149246591731E-3</v>
      </c>
      <c r="E30" s="39">
        <f t="shared" si="1"/>
        <v>-0.2637055934411574</v>
      </c>
      <c r="F30" s="306">
        <f>((SUM(C30:C32,C34:C42)/SUM(C43:C45,C47:C55))-1)</f>
        <v>-5.1626694979651777E-2</v>
      </c>
    </row>
    <row r="31" spans="2:6" ht="12.75" hidden="1" outlineLevel="1">
      <c r="B31" s="305" t="s">
        <v>214</v>
      </c>
      <c r="C31" s="203">
        <f>GETPIVOTDATA("dato",'[1]tabla dinámica men'!$A$18,"mes",2,"año",2009)</f>
        <v>133792</v>
      </c>
      <c r="D31" s="39">
        <f t="shared" si="2"/>
        <v>-1.8717361966789886E-2</v>
      </c>
      <c r="E31" s="39">
        <f t="shared" si="1"/>
        <v>-0.20482128210919204</v>
      </c>
      <c r="F31" s="306">
        <f>((SUM(C31:C32,C34:C43)/SUM(C44:C45,C47:C56))-1)</f>
        <v>-2.1401316710429774E-2</v>
      </c>
    </row>
    <row r="32" spans="2:6" ht="12.75" hidden="1" outlineLevel="1">
      <c r="B32" s="305" t="s">
        <v>215</v>
      </c>
      <c r="C32" s="203">
        <f>GETPIVOTDATA("dato",'[1]tabla dinámica men'!$A$18,"mes",1,"año",2009)</f>
        <v>136344</v>
      </c>
      <c r="D32" s="39" t="s">
        <v>216</v>
      </c>
      <c r="E32" s="39">
        <f t="shared" si="1"/>
        <v>-7.3315616695325936E-2</v>
      </c>
      <c r="F32" s="306">
        <f>((SUM(C32,C34:C44)/SUM(C45,C47:C57))-1)</f>
        <v>5.8553215531369496E-3</v>
      </c>
    </row>
    <row r="33" spans="2:6" ht="12.75" collapsed="1">
      <c r="B33" s="310">
        <v>2009</v>
      </c>
      <c r="C33" s="205">
        <f>GETPIVOTDATA("dato",'[1]tabla dinámica men'!$A$18,"año",2009)</f>
        <v>1649031</v>
      </c>
      <c r="D33" s="311"/>
      <c r="E33" s="311">
        <f t="shared" si="1"/>
        <v>-0.12786598265284532</v>
      </c>
      <c r="F33" s="311">
        <f>C33/C46-1</f>
        <v>-0.12786598265284532</v>
      </c>
    </row>
    <row r="34" spans="2:6" ht="12.75" hidden="1" outlineLevel="1">
      <c r="B34" s="305" t="s">
        <v>204</v>
      </c>
      <c r="C34" s="203">
        <f>GETPIVOTDATA("dato",'[1]tabla dinámica men'!$A$18,"mes",12,"año",2008)</f>
        <v>141832</v>
      </c>
      <c r="D34" s="39">
        <f t="shared" ref="D34:D44" si="3">IFERROR((C34-C35)/C35,"-")</f>
        <v>-4.8694765648056235E-2</v>
      </c>
      <c r="E34" s="39">
        <f t="shared" si="1"/>
        <v>-5.1887107771702023E-2</v>
      </c>
      <c r="F34" s="306">
        <f>((SUM(C34:C45)/SUM(C47:C58))-1)</f>
        <v>1.2106957459176781E-2</v>
      </c>
    </row>
    <row r="35" spans="2:6" ht="12.75" hidden="1" outlineLevel="1">
      <c r="B35" s="305" t="s">
        <v>205</v>
      </c>
      <c r="C35" s="203">
        <f>GETPIVOTDATA("dato",'[1]tabla dinámica men'!$A$18,"mes",11,"año",2008)</f>
        <v>149092</v>
      </c>
      <c r="D35" s="39">
        <f t="shared" si="3"/>
        <v>-7.0747866843676566E-2</v>
      </c>
      <c r="E35" s="39">
        <f t="shared" si="1"/>
        <v>-0.10064182993919502</v>
      </c>
      <c r="F35" s="306">
        <f>((SUM(C35:C45,C47)/SUM(C48:C58,C60))-1)</f>
        <v>1.0713694417220365E-2</v>
      </c>
    </row>
    <row r="36" spans="2:6" ht="12.75" hidden="1" outlineLevel="1">
      <c r="B36" s="305" t="s">
        <v>206</v>
      </c>
      <c r="C36" s="203">
        <f>GETPIVOTDATA("dato",'[1]tabla dinámica men'!$A$18,"mes",10,"año",2008)</f>
        <v>160443</v>
      </c>
      <c r="D36" s="39">
        <f t="shared" si="3"/>
        <v>0.16736757857974388</v>
      </c>
      <c r="E36" s="39">
        <f t="shared" si="1"/>
        <v>-6.0896591687299217E-2</v>
      </c>
      <c r="F36" s="306">
        <f>((SUM(C36:C45,C47:C48)/SUM(C49:C58,C60:C61))-1)</f>
        <v>2.6976246382585556E-2</v>
      </c>
    </row>
    <row r="37" spans="2:6" ht="12.75" hidden="1" outlineLevel="1">
      <c r="B37" s="305" t="s">
        <v>207</v>
      </c>
      <c r="C37" s="203">
        <f>GETPIVOTDATA("dato",'[1]tabla dinámica men'!$A$18,"mes",9,"año",2008)</f>
        <v>137440</v>
      </c>
      <c r="D37" s="39">
        <f t="shared" si="3"/>
        <v>-0.26892839285524311</v>
      </c>
      <c r="E37" s="39">
        <f t="shared" si="1"/>
        <v>-3.4648423507266157E-2</v>
      </c>
      <c r="F37" s="306">
        <f>((SUM(C37:C45,C47:C49)/SUM(C50:C58,C60:C62))-1)</f>
        <v>2.9235934024995913E-2</v>
      </c>
    </row>
    <row r="38" spans="2:6" ht="12.75" hidden="1" outlineLevel="1">
      <c r="B38" s="305" t="s">
        <v>208</v>
      </c>
      <c r="C38" s="203">
        <f>GETPIVOTDATA("dato",'[1]tabla dinámica men'!$A$18,"mes",8,"año",2008)</f>
        <v>187998</v>
      </c>
      <c r="D38" s="39">
        <f t="shared" si="3"/>
        <v>0.16571279755445734</v>
      </c>
      <c r="E38" s="39">
        <f t="shared" si="1"/>
        <v>1.26910936102822E-2</v>
      </c>
      <c r="F38" s="306">
        <f>((SUM(C38:C45,C47:C50)/SUM(C51:C58,C60:C63))-1)</f>
        <v>2.0275148000917342E-2</v>
      </c>
    </row>
    <row r="39" spans="2:6" ht="12.75" hidden="1" outlineLevel="1">
      <c r="B39" s="305" t="s">
        <v>209</v>
      </c>
      <c r="C39" s="203">
        <f>GETPIVOTDATA("dato",'[1]tabla dinámica men'!$A$18,"mes",7,"año",2008)</f>
        <v>161273</v>
      </c>
      <c r="D39" s="39">
        <f t="shared" si="3"/>
        <v>0.10187000813047013</v>
      </c>
      <c r="E39" s="39">
        <f t="shared" si="1"/>
        <v>5.9506359196352943E-3</v>
      </c>
      <c r="F39" s="306">
        <f>((SUM(C39:C45,C47:C51)/SUM(C52:C58,C60:C64))-1)</f>
        <v>2.0868154622140533E-2</v>
      </c>
    </row>
    <row r="40" spans="2:6" ht="12.75" hidden="1" outlineLevel="1">
      <c r="B40" s="305" t="s">
        <v>210</v>
      </c>
      <c r="C40" s="203">
        <f>GETPIVOTDATA("dato",'[1]tabla dinámica men'!$A$18,"mes",6,"año",2008)</f>
        <v>146363</v>
      </c>
      <c r="D40" s="39">
        <f t="shared" si="3"/>
        <v>-4.6526171785935315E-2</v>
      </c>
      <c r="E40" s="39">
        <f t="shared" si="1"/>
        <v>1.2850677480519934E-2</v>
      </c>
      <c r="F40" s="306">
        <f>((SUM(C40:C45,C47:C52)/SUM(C53:C58,C60:C65))-1)</f>
        <v>1.6233708026318183E-2</v>
      </c>
    </row>
    <row r="41" spans="2:6" ht="12.75" hidden="1" outlineLevel="1">
      <c r="B41" s="305" t="s">
        <v>211</v>
      </c>
      <c r="C41" s="203">
        <f>GETPIVOTDATA("dato",'[1]tabla dinámica men'!$A$18,"mes",5,"año",2008)</f>
        <v>153505</v>
      </c>
      <c r="D41" s="39">
        <f t="shared" si="3"/>
        <v>-3.356663333809456E-3</v>
      </c>
      <c r="E41" s="39">
        <f t="shared" si="1"/>
        <v>0.32186036098098647</v>
      </c>
      <c r="F41" s="306">
        <f>((SUM(C41:C45,C47:C53)/SUM(C54:C58,C60:C66))-1)</f>
        <v>1.1767599113410077E-2</v>
      </c>
    </row>
    <row r="42" spans="2:6" ht="12.75" hidden="1" outlineLevel="1">
      <c r="B42" s="305" t="s">
        <v>212</v>
      </c>
      <c r="C42" s="203">
        <f>GETPIVOTDATA("dato",'[1]tabla dinámica men'!$A$18,"mes",4,"año",2008)</f>
        <v>154022</v>
      </c>
      <c r="D42" s="39">
        <f t="shared" si="3"/>
        <v>-0.16040055165797207</v>
      </c>
      <c r="E42" s="39">
        <f t="shared" si="1"/>
        <v>-4.3288134119298549E-2</v>
      </c>
      <c r="F42" s="306">
        <f>((SUM(C42:C45,C47:C54)/SUM(C55:C58,C60:C67))-1)</f>
        <v>-1.6242603735282968E-2</v>
      </c>
    </row>
    <row r="43" spans="2:6" ht="12.75" hidden="1" outlineLevel="1">
      <c r="B43" s="305" t="s">
        <v>213</v>
      </c>
      <c r="C43" s="203">
        <f>GETPIVOTDATA("dato",'[1]tabla dinámica men'!$A$18,"mes",3,"año",2008)</f>
        <v>183447</v>
      </c>
      <c r="D43" s="39">
        <f t="shared" si="3"/>
        <v>9.0298001830565688E-2</v>
      </c>
      <c r="E43" s="39">
        <f t="shared" si="1"/>
        <v>5.2170621332828571E-2</v>
      </c>
      <c r="F43" s="306">
        <f>((SUM(C43:C45,C47:C55)/SUM(C56:C58,C60:C68))-1)</f>
        <v>-1.9280501670838834E-2</v>
      </c>
    </row>
    <row r="44" spans="2:6" ht="12.75" hidden="1" outlineLevel="1">
      <c r="B44" s="305" t="s">
        <v>214</v>
      </c>
      <c r="C44" s="203">
        <f>GETPIVOTDATA("dato",'[1]tabla dinámica men'!$A$18,"mes",2,"año",2008)</f>
        <v>168254</v>
      </c>
      <c r="D44" s="39">
        <f t="shared" si="3"/>
        <v>0.14356593783770924</v>
      </c>
      <c r="E44" s="39">
        <f t="shared" si="1"/>
        <v>0.11124026655923291</v>
      </c>
      <c r="F44" s="306">
        <f>((SUM(C44:C45,C47:C56)/SUM(C57:C58,C60:C69))-1)</f>
        <v>-2.0641743276724189E-2</v>
      </c>
    </row>
    <row r="45" spans="2:6" ht="12.75" hidden="1" outlineLevel="1">
      <c r="B45" s="305" t="s">
        <v>215</v>
      </c>
      <c r="C45" s="203">
        <f>GETPIVOTDATA("dato",'[1]tabla dinámica men'!$A$18,"mes",1,"año",2008)</f>
        <v>147131</v>
      </c>
      <c r="D45" s="39" t="s">
        <v>216</v>
      </c>
      <c r="E45" s="39">
        <f t="shared" si="1"/>
        <v>6.0652060939252461E-3</v>
      </c>
      <c r="F45" s="306">
        <f>((SUM(C45,C47:C57)/SUM(C58,C60:C70))-1)</f>
        <v>-2.9052542993618147E-2</v>
      </c>
    </row>
    <row r="46" spans="2:6" ht="12.75" collapsed="1">
      <c r="B46" s="312">
        <v>2008</v>
      </c>
      <c r="C46" s="313">
        <f>GETPIVOTDATA("dato",'[1]tabla dinámica men'!$A$18,"año",2008)</f>
        <v>1890800</v>
      </c>
      <c r="D46" s="314"/>
      <c r="E46" s="314">
        <f t="shared" si="1"/>
        <v>1.2106957459176781E-2</v>
      </c>
      <c r="F46" s="314">
        <f>C46/C59-1</f>
        <v>1.2106957459176781E-2</v>
      </c>
    </row>
    <row r="47" spans="2:6" ht="12.75" hidden="1" outlineLevel="1">
      <c r="B47" s="305" t="s">
        <v>204</v>
      </c>
      <c r="C47" s="203">
        <f>GETPIVOTDATA("dato",'[1]tabla dinámica men'!$A$18,"mes",12,"año",2007)</f>
        <v>149594</v>
      </c>
      <c r="D47" s="39">
        <f t="shared" ref="D47:D57" si="4">IFERROR((C47-C48)/C48,"-")</f>
        <v>-9.7613647331338677E-2</v>
      </c>
      <c r="E47" s="39">
        <f t="shared" si="1"/>
        <v>-6.4154295616488111E-2</v>
      </c>
      <c r="F47" s="306">
        <f>((SUM(C47:C58)/SUM(C60:C71))-1)</f>
        <v>-3.2741212548908383E-2</v>
      </c>
    </row>
    <row r="48" spans="2:6" ht="12.75" hidden="1" outlineLevel="1">
      <c r="B48" s="305" t="s">
        <v>205</v>
      </c>
      <c r="C48" s="203">
        <f>GETPIVOTDATA("dato",'[1]tabla dinámica men'!$A$18,"mes",11,"año",2007)</f>
        <v>165776</v>
      </c>
      <c r="D48" s="39">
        <f t="shared" si="4"/>
        <v>-2.9681527916791049E-2</v>
      </c>
      <c r="E48" s="39">
        <f t="shared" si="1"/>
        <v>8.8654811001076972E-2</v>
      </c>
      <c r="F48" s="306" t="s">
        <v>216</v>
      </c>
    </row>
    <row r="49" spans="2:6" ht="12.75" hidden="1" outlineLevel="1">
      <c r="B49" s="305" t="s">
        <v>206</v>
      </c>
      <c r="C49" s="203">
        <f>GETPIVOTDATA("dato",'[1]tabla dinámica men'!$A$18,"mes",10,"año",2007)</f>
        <v>170847</v>
      </c>
      <c r="D49" s="39">
        <f t="shared" si="4"/>
        <v>0.19999578571779761</v>
      </c>
      <c r="E49" s="39">
        <f t="shared" si="1"/>
        <v>-3.4004104918551881E-2</v>
      </c>
      <c r="F49" s="306" t="s">
        <v>216</v>
      </c>
    </row>
    <row r="50" spans="2:6" ht="12.75" hidden="1" outlineLevel="1">
      <c r="B50" s="305" t="s">
        <v>207</v>
      </c>
      <c r="C50" s="203">
        <f>GETPIVOTDATA("dato",'[1]tabla dinámica men'!$A$18,"mes",9,"año",2007)</f>
        <v>142373</v>
      </c>
      <c r="D50" s="39">
        <f t="shared" si="4"/>
        <v>-0.233077644067614</v>
      </c>
      <c r="E50" s="39">
        <f t="shared" si="1"/>
        <v>-0.12996211195306773</v>
      </c>
      <c r="F50" s="306" t="s">
        <v>216</v>
      </c>
    </row>
    <row r="51" spans="2:6" ht="12.75" hidden="1" outlineLevel="1">
      <c r="B51" s="305" t="s">
        <v>208</v>
      </c>
      <c r="C51" s="203">
        <f>GETPIVOTDATA("dato",'[1]tabla dinámica men'!$A$18,"mes",8,"año",2007)</f>
        <v>185642</v>
      </c>
      <c r="D51" s="39">
        <f t="shared" si="4"/>
        <v>0.15795382955233003</v>
      </c>
      <c r="E51" s="39">
        <f t="shared" si="1"/>
        <v>1.8695640244738909E-2</v>
      </c>
      <c r="F51" s="306" t="s">
        <v>216</v>
      </c>
    </row>
    <row r="52" spans="2:6" ht="12.75" hidden="1" outlineLevel="1">
      <c r="B52" s="305" t="s">
        <v>209</v>
      </c>
      <c r="C52" s="203">
        <f>GETPIVOTDATA("dato",'[1]tabla dinámica men'!$A$18,"mes",7,"año",2007)</f>
        <v>160319</v>
      </c>
      <c r="D52" s="39">
        <f t="shared" si="4"/>
        <v>0.1094279822291116</v>
      </c>
      <c r="E52" s="39">
        <f t="shared" si="1"/>
        <v>-4.5686155457932975E-2</v>
      </c>
      <c r="F52" s="306" t="s">
        <v>216</v>
      </c>
    </row>
    <row r="53" spans="2:6" ht="12.75" hidden="1" outlineLevel="1">
      <c r="B53" s="305" t="s">
        <v>210</v>
      </c>
      <c r="C53" s="203">
        <f>GETPIVOTDATA("dato",'[1]tabla dinámica men'!$A$18,"mes",6,"año",2007)</f>
        <v>144506</v>
      </c>
      <c r="D53" s="39">
        <f t="shared" si="4"/>
        <v>0.24436828327362911</v>
      </c>
      <c r="E53" s="39">
        <f t="shared" si="1"/>
        <v>-4.3272732087763721E-2</v>
      </c>
      <c r="F53" s="306" t="s">
        <v>216</v>
      </c>
    </row>
    <row r="54" spans="2:6" ht="12.75" hidden="1" outlineLevel="1">
      <c r="B54" s="305" t="s">
        <v>211</v>
      </c>
      <c r="C54" s="203">
        <f>GETPIVOTDATA("dato",'[1]tabla dinámica men'!$A$18,"mes",5,"año",2007)</f>
        <v>116128</v>
      </c>
      <c r="D54" s="39">
        <f t="shared" si="4"/>
        <v>-0.2786677516134442</v>
      </c>
      <c r="E54" s="39">
        <f t="shared" si="1"/>
        <v>-0.12235674662555363</v>
      </c>
      <c r="F54" s="306" t="s">
        <v>216</v>
      </c>
    </row>
    <row r="55" spans="2:6" ht="12.75" hidden="1" outlineLevel="1">
      <c r="B55" s="305" t="s">
        <v>212</v>
      </c>
      <c r="C55" s="203">
        <f>GETPIVOTDATA("dato",'[1]tabla dinámica men'!$A$18,"mes",4,"año",2007)</f>
        <v>160991</v>
      </c>
      <c r="D55" s="39">
        <f t="shared" si="4"/>
        <v>-7.6627033971700759E-2</v>
      </c>
      <c r="E55" s="39">
        <f t="shared" si="1"/>
        <v>-7.4987646660001572E-2</v>
      </c>
      <c r="F55" s="306" t="s">
        <v>216</v>
      </c>
    </row>
    <row r="56" spans="2:6" ht="12.75" hidden="1" outlineLevel="1">
      <c r="B56" s="305" t="s">
        <v>213</v>
      </c>
      <c r="C56" s="203">
        <f>GETPIVOTDATA("dato",'[1]tabla dinámica men'!$A$18,"mes",3,"año",2007)</f>
        <v>174351</v>
      </c>
      <c r="D56" s="39">
        <f t="shared" si="4"/>
        <v>0.15150814670004162</v>
      </c>
      <c r="E56" s="39">
        <f t="shared" si="1"/>
        <v>3.9356419412336363E-2</v>
      </c>
      <c r="F56" s="306" t="s">
        <v>216</v>
      </c>
    </row>
    <row r="57" spans="2:6" ht="12.75" hidden="1" outlineLevel="1">
      <c r="B57" s="305" t="s">
        <v>214</v>
      </c>
      <c r="C57" s="203">
        <f>GETPIVOTDATA("dato",'[1]tabla dinámica men'!$A$18,"mes",2,"año",2007)</f>
        <v>151411</v>
      </c>
      <c r="D57" s="39">
        <f t="shared" si="4"/>
        <v>3.5331364021771831E-2</v>
      </c>
      <c r="E57" s="39">
        <f t="shared" si="1"/>
        <v>4.4180569836478334E-3</v>
      </c>
      <c r="F57" s="306" t="s">
        <v>216</v>
      </c>
    </row>
    <row r="58" spans="2:6" ht="12.75" hidden="1" outlineLevel="1">
      <c r="B58" s="305" t="s">
        <v>215</v>
      </c>
      <c r="C58" s="203">
        <f>GETPIVOTDATA("dato",'[1]tabla dinámica men'!$A$18,"mes",1,"año",2007)</f>
        <v>146244</v>
      </c>
      <c r="D58" s="39" t="s">
        <v>216</v>
      </c>
      <c r="E58" s="39">
        <f t="shared" si="1"/>
        <v>-4.2078235124584085E-2</v>
      </c>
      <c r="F58" s="306" t="s">
        <v>216</v>
      </c>
    </row>
    <row r="59" spans="2:6" ht="12.75" collapsed="1">
      <c r="B59" s="312">
        <v>2007</v>
      </c>
      <c r="C59" s="313">
        <f>GETPIVOTDATA("dato",'[1]tabla dinámica men'!$A$18,"año",2007)</f>
        <v>1868182</v>
      </c>
      <c r="D59" s="314"/>
      <c r="E59" s="314">
        <f t="shared" si="1"/>
        <v>-3.2741212548908383E-2</v>
      </c>
      <c r="F59" s="314">
        <f>C59/C72-1</f>
        <v>-3.2741212548908383E-2</v>
      </c>
    </row>
    <row r="60" spans="2:6" ht="12.75" hidden="1" outlineLevel="1">
      <c r="B60" s="305" t="s">
        <v>204</v>
      </c>
      <c r="C60" s="203">
        <f>GETPIVOTDATA("dato",'[1]tabla dinámica men'!$A$18,"mes",12,"año",2006)</f>
        <v>159849</v>
      </c>
      <c r="D60" s="39">
        <f t="shared" ref="D60:D70" si="5">IFERROR((C60-C61)/C61,"-")</f>
        <v>4.9732065460085635E-2</v>
      </c>
      <c r="E60" s="315" t="s">
        <v>216</v>
      </c>
      <c r="F60" s="306" t="s">
        <v>216</v>
      </c>
    </row>
    <row r="61" spans="2:6" ht="12.75" hidden="1" outlineLevel="1">
      <c r="B61" s="305" t="s">
        <v>205</v>
      </c>
      <c r="C61" s="203">
        <f>GETPIVOTDATA("dato",'[1]tabla dinámica men'!$A$18,"mes",11,"año",2006)</f>
        <v>152276</v>
      </c>
      <c r="D61" s="39">
        <f t="shared" si="5"/>
        <v>-0.13900746914243389</v>
      </c>
      <c r="E61" s="315" t="s">
        <v>216</v>
      </c>
      <c r="F61" s="306" t="s">
        <v>216</v>
      </c>
    </row>
    <row r="62" spans="2:6" ht="12.75" hidden="1" outlineLevel="1">
      <c r="B62" s="305" t="s">
        <v>206</v>
      </c>
      <c r="C62" s="203">
        <f>GETPIVOTDATA("dato",'[1]tabla dinámica men'!$A$18,"mes",10,"año",2006)</f>
        <v>176861</v>
      </c>
      <c r="D62" s="39">
        <f t="shared" si="5"/>
        <v>8.079320459545343E-2</v>
      </c>
      <c r="E62" s="315" t="s">
        <v>216</v>
      </c>
      <c r="F62" s="306" t="s">
        <v>216</v>
      </c>
    </row>
    <row r="63" spans="2:6" ht="12.75" hidden="1" outlineLevel="1">
      <c r="B63" s="305" t="s">
        <v>207</v>
      </c>
      <c r="C63" s="203">
        <f>GETPIVOTDATA("dato",'[1]tabla dinámica men'!$A$18,"mes",9,"año",2006)</f>
        <v>163640</v>
      </c>
      <c r="D63" s="39">
        <f t="shared" si="5"/>
        <v>-0.1020385765632288</v>
      </c>
      <c r="E63" s="315" t="s">
        <v>216</v>
      </c>
      <c r="F63" s="306" t="s">
        <v>216</v>
      </c>
    </row>
    <row r="64" spans="2:6" ht="12.75" hidden="1" outlineLevel="1">
      <c r="B64" s="305" t="s">
        <v>208</v>
      </c>
      <c r="C64" s="203">
        <f>GETPIVOTDATA("dato",'[1]tabla dinámica men'!$A$18,"mes",8,"año",2006)</f>
        <v>182235</v>
      </c>
      <c r="D64" s="39">
        <f t="shared" si="5"/>
        <v>8.4770884674452665E-2</v>
      </c>
      <c r="E64" s="315" t="s">
        <v>216</v>
      </c>
      <c r="F64" s="306" t="s">
        <v>216</v>
      </c>
    </row>
    <row r="65" spans="2:6" ht="12.75" hidden="1" outlineLevel="1">
      <c r="B65" s="305" t="s">
        <v>209</v>
      </c>
      <c r="C65" s="203">
        <f>GETPIVOTDATA("dato",'[1]tabla dinámica men'!$A$18,"mes",7,"año",2006)</f>
        <v>167994</v>
      </c>
      <c r="D65" s="39">
        <f t="shared" si="5"/>
        <v>0.11223368334635399</v>
      </c>
      <c r="E65" s="315" t="s">
        <v>216</v>
      </c>
      <c r="F65" s="306" t="s">
        <v>216</v>
      </c>
    </row>
    <row r="66" spans="2:6" ht="12.75" hidden="1" outlineLevel="1">
      <c r="B66" s="305" t="s">
        <v>210</v>
      </c>
      <c r="C66" s="203">
        <f>GETPIVOTDATA("dato",'[1]tabla dinámica men'!$A$18,"mes",6,"año",2006)</f>
        <v>151042</v>
      </c>
      <c r="D66" s="39">
        <f t="shared" si="5"/>
        <v>0.14150758022340121</v>
      </c>
      <c r="E66" s="315" t="s">
        <v>216</v>
      </c>
      <c r="F66" s="306" t="s">
        <v>216</v>
      </c>
    </row>
    <row r="67" spans="2:6" ht="12.75" hidden="1" outlineLevel="1">
      <c r="B67" s="305" t="s">
        <v>211</v>
      </c>
      <c r="C67" s="203">
        <f>GETPIVOTDATA("dato",'[1]tabla dinámica men'!$A$18,"mes",5,"año",2006)</f>
        <v>132318</v>
      </c>
      <c r="D67" s="39">
        <f t="shared" si="5"/>
        <v>-0.23973523632226704</v>
      </c>
      <c r="E67" s="315" t="s">
        <v>216</v>
      </c>
      <c r="F67" s="306" t="s">
        <v>216</v>
      </c>
    </row>
    <row r="68" spans="2:6" ht="12.75" hidden="1" outlineLevel="1">
      <c r="B68" s="305" t="s">
        <v>212</v>
      </c>
      <c r="C68" s="203">
        <f>GETPIVOTDATA("dato",'[1]tabla dinámica men'!$A$18,"mes",4,"año",2006)</f>
        <v>174042</v>
      </c>
      <c r="D68" s="39">
        <f t="shared" si="5"/>
        <v>3.7514381605851597E-2</v>
      </c>
      <c r="E68" s="315" t="s">
        <v>216</v>
      </c>
      <c r="F68" s="306" t="s">
        <v>216</v>
      </c>
    </row>
    <row r="69" spans="2:6" ht="12.75" hidden="1" outlineLevel="1">
      <c r="B69" s="305" t="s">
        <v>213</v>
      </c>
      <c r="C69" s="203">
        <f>GETPIVOTDATA("dato",'[1]tabla dinámica men'!$A$18,"mes",3,"año",2006)</f>
        <v>167749</v>
      </c>
      <c r="D69" s="39">
        <f t="shared" si="5"/>
        <v>0.11279976118610899</v>
      </c>
      <c r="E69" s="315" t="s">
        <v>216</v>
      </c>
      <c r="F69" s="306" t="s">
        <v>216</v>
      </c>
    </row>
    <row r="70" spans="2:6" ht="12.75" hidden="1" outlineLevel="1">
      <c r="B70" s="305" t="s">
        <v>214</v>
      </c>
      <c r="C70" s="203">
        <f>GETPIVOTDATA("dato",'[1]tabla dinámica men'!$A$18,"mes",2,"año",2006)</f>
        <v>150745</v>
      </c>
      <c r="D70" s="39">
        <f t="shared" si="5"/>
        <v>-1.2595959860612571E-2</v>
      </c>
      <c r="E70" s="315" t="s">
        <v>216</v>
      </c>
      <c r="F70" s="306" t="s">
        <v>216</v>
      </c>
    </row>
    <row r="71" spans="2:6" ht="12.75" hidden="1" outlineLevel="1">
      <c r="B71" s="305" t="s">
        <v>215</v>
      </c>
      <c r="C71" s="203">
        <f>GETPIVOTDATA("dato",'[1]tabla dinámica men'!$A$18,"mes",1,"año",2006)</f>
        <v>152668</v>
      </c>
      <c r="D71" s="39" t="s">
        <v>216</v>
      </c>
      <c r="E71" s="315" t="s">
        <v>216</v>
      </c>
      <c r="F71" s="306" t="s">
        <v>216</v>
      </c>
    </row>
    <row r="72" spans="2:6" ht="12.75" collapsed="1">
      <c r="B72" s="312">
        <v>2006</v>
      </c>
      <c r="C72" s="313">
        <f>GETPIVOTDATA("dato",'[1]tabla dinámica men'!$A$18,"año",2006)</f>
        <v>1931419</v>
      </c>
      <c r="D72" s="314"/>
      <c r="E72" s="316" t="s">
        <v>216</v>
      </c>
      <c r="F72" s="316" t="s">
        <v>216</v>
      </c>
    </row>
    <row r="73" spans="2:6">
      <c r="B73" s="317" t="s">
        <v>217</v>
      </c>
      <c r="C73" s="318"/>
      <c r="D73" s="318"/>
      <c r="E73" s="318"/>
      <c r="F73" s="318"/>
    </row>
  </sheetData>
  <mergeCells count="2">
    <mergeCell ref="B6:F6"/>
    <mergeCell ref="B73:F73"/>
  </mergeCells>
  <hyperlinks>
    <hyperlink ref="H7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B25" sqref="B25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17.100000000000001" customHeight="1" thickBot="1"/>
    <row r="30" spans="2:12" ht="30" customHeight="1" thickBot="1">
      <c r="J30" s="60" t="s">
        <v>51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35">
    <tabColor theme="4" tint="-0.499984740745262"/>
    <pageSetUpPr autoPageBreaks="0" fitToPage="1"/>
  </sheetPr>
  <dimension ref="C5:I78"/>
  <sheetViews>
    <sheetView showGridLines="0" showRowColHeaders="0" showOutlineSymbols="0" zoomScaleNormal="100" workbookViewId="0">
      <selection activeCell="B25" sqref="B25"/>
    </sheetView>
  </sheetViews>
  <sheetFormatPr baseColWidth="10" defaultRowHeight="12.75"/>
  <cols>
    <col min="1" max="2" width="11.42578125" style="2"/>
    <col min="3" max="3" width="9.140625" style="2" customWidth="1"/>
    <col min="4" max="4" width="12" style="2" bestFit="1" customWidth="1"/>
    <col min="5" max="5" width="48.42578125" style="2" customWidth="1"/>
    <col min="6" max="6" width="29" style="2" customWidth="1"/>
    <col min="7" max="258" width="11.42578125" style="2"/>
    <col min="259" max="259" width="9.140625" style="2" customWidth="1"/>
    <col min="260" max="260" width="12" style="2" bestFit="1" customWidth="1"/>
    <col min="261" max="261" width="48.42578125" style="2" customWidth="1"/>
    <col min="262" max="514" width="11.42578125" style="2"/>
    <col min="515" max="515" width="9.140625" style="2" customWidth="1"/>
    <col min="516" max="516" width="12" style="2" bestFit="1" customWidth="1"/>
    <col min="517" max="517" width="48.42578125" style="2" customWidth="1"/>
    <col min="518" max="770" width="11.42578125" style="2"/>
    <col min="771" max="771" width="9.140625" style="2" customWidth="1"/>
    <col min="772" max="772" width="12" style="2" bestFit="1" customWidth="1"/>
    <col min="773" max="773" width="48.42578125" style="2" customWidth="1"/>
    <col min="774" max="1026" width="11.42578125" style="2"/>
    <col min="1027" max="1027" width="9.140625" style="2" customWidth="1"/>
    <col min="1028" max="1028" width="12" style="2" bestFit="1" customWidth="1"/>
    <col min="1029" max="1029" width="48.42578125" style="2" customWidth="1"/>
    <col min="1030" max="1282" width="11.42578125" style="2"/>
    <col min="1283" max="1283" width="9.140625" style="2" customWidth="1"/>
    <col min="1284" max="1284" width="12" style="2" bestFit="1" customWidth="1"/>
    <col min="1285" max="1285" width="48.42578125" style="2" customWidth="1"/>
    <col min="1286" max="1538" width="11.42578125" style="2"/>
    <col min="1539" max="1539" width="9.140625" style="2" customWidth="1"/>
    <col min="1540" max="1540" width="12" style="2" bestFit="1" customWidth="1"/>
    <col min="1541" max="1541" width="48.42578125" style="2" customWidth="1"/>
    <col min="1542" max="1794" width="11.42578125" style="2"/>
    <col min="1795" max="1795" width="9.140625" style="2" customWidth="1"/>
    <col min="1796" max="1796" width="12" style="2" bestFit="1" customWidth="1"/>
    <col min="1797" max="1797" width="48.42578125" style="2" customWidth="1"/>
    <col min="1798" max="2050" width="11.42578125" style="2"/>
    <col min="2051" max="2051" width="9.140625" style="2" customWidth="1"/>
    <col min="2052" max="2052" width="12" style="2" bestFit="1" customWidth="1"/>
    <col min="2053" max="2053" width="48.42578125" style="2" customWidth="1"/>
    <col min="2054" max="2306" width="11.42578125" style="2"/>
    <col min="2307" max="2307" width="9.140625" style="2" customWidth="1"/>
    <col min="2308" max="2308" width="12" style="2" bestFit="1" customWidth="1"/>
    <col min="2309" max="2309" width="48.42578125" style="2" customWidth="1"/>
    <col min="2310" max="2562" width="11.42578125" style="2"/>
    <col min="2563" max="2563" width="9.140625" style="2" customWidth="1"/>
    <col min="2564" max="2564" width="12" style="2" bestFit="1" customWidth="1"/>
    <col min="2565" max="2565" width="48.42578125" style="2" customWidth="1"/>
    <col min="2566" max="2818" width="11.42578125" style="2"/>
    <col min="2819" max="2819" width="9.140625" style="2" customWidth="1"/>
    <col min="2820" max="2820" width="12" style="2" bestFit="1" customWidth="1"/>
    <col min="2821" max="2821" width="48.42578125" style="2" customWidth="1"/>
    <col min="2822" max="3074" width="11.42578125" style="2"/>
    <col min="3075" max="3075" width="9.140625" style="2" customWidth="1"/>
    <col min="3076" max="3076" width="12" style="2" bestFit="1" customWidth="1"/>
    <col min="3077" max="3077" width="48.42578125" style="2" customWidth="1"/>
    <col min="3078" max="3330" width="11.42578125" style="2"/>
    <col min="3331" max="3331" width="9.140625" style="2" customWidth="1"/>
    <col min="3332" max="3332" width="12" style="2" bestFit="1" customWidth="1"/>
    <col min="3333" max="3333" width="48.42578125" style="2" customWidth="1"/>
    <col min="3334" max="3586" width="11.42578125" style="2"/>
    <col min="3587" max="3587" width="9.140625" style="2" customWidth="1"/>
    <col min="3588" max="3588" width="12" style="2" bestFit="1" customWidth="1"/>
    <col min="3589" max="3589" width="48.42578125" style="2" customWidth="1"/>
    <col min="3590" max="3842" width="11.42578125" style="2"/>
    <col min="3843" max="3843" width="9.140625" style="2" customWidth="1"/>
    <col min="3844" max="3844" width="12" style="2" bestFit="1" customWidth="1"/>
    <col min="3845" max="3845" width="48.42578125" style="2" customWidth="1"/>
    <col min="3846" max="4098" width="11.42578125" style="2"/>
    <col min="4099" max="4099" width="9.140625" style="2" customWidth="1"/>
    <col min="4100" max="4100" width="12" style="2" bestFit="1" customWidth="1"/>
    <col min="4101" max="4101" width="48.42578125" style="2" customWidth="1"/>
    <col min="4102" max="4354" width="11.42578125" style="2"/>
    <col min="4355" max="4355" width="9.140625" style="2" customWidth="1"/>
    <col min="4356" max="4356" width="12" style="2" bestFit="1" customWidth="1"/>
    <col min="4357" max="4357" width="48.42578125" style="2" customWidth="1"/>
    <col min="4358" max="4610" width="11.42578125" style="2"/>
    <col min="4611" max="4611" width="9.140625" style="2" customWidth="1"/>
    <col min="4612" max="4612" width="12" style="2" bestFit="1" customWidth="1"/>
    <col min="4613" max="4613" width="48.42578125" style="2" customWidth="1"/>
    <col min="4614" max="4866" width="11.42578125" style="2"/>
    <col min="4867" max="4867" width="9.140625" style="2" customWidth="1"/>
    <col min="4868" max="4868" width="12" style="2" bestFit="1" customWidth="1"/>
    <col min="4869" max="4869" width="48.42578125" style="2" customWidth="1"/>
    <col min="4870" max="5122" width="11.42578125" style="2"/>
    <col min="5123" max="5123" width="9.140625" style="2" customWidth="1"/>
    <col min="5124" max="5124" width="12" style="2" bestFit="1" customWidth="1"/>
    <col min="5125" max="5125" width="48.42578125" style="2" customWidth="1"/>
    <col min="5126" max="5378" width="11.42578125" style="2"/>
    <col min="5379" max="5379" width="9.140625" style="2" customWidth="1"/>
    <col min="5380" max="5380" width="12" style="2" bestFit="1" customWidth="1"/>
    <col min="5381" max="5381" width="48.42578125" style="2" customWidth="1"/>
    <col min="5382" max="5634" width="11.42578125" style="2"/>
    <col min="5635" max="5635" width="9.140625" style="2" customWidth="1"/>
    <col min="5636" max="5636" width="12" style="2" bestFit="1" customWidth="1"/>
    <col min="5637" max="5637" width="48.42578125" style="2" customWidth="1"/>
    <col min="5638" max="5890" width="11.42578125" style="2"/>
    <col min="5891" max="5891" width="9.140625" style="2" customWidth="1"/>
    <col min="5892" max="5892" width="12" style="2" bestFit="1" customWidth="1"/>
    <col min="5893" max="5893" width="48.42578125" style="2" customWidth="1"/>
    <col min="5894" max="6146" width="11.42578125" style="2"/>
    <col min="6147" max="6147" width="9.140625" style="2" customWidth="1"/>
    <col min="6148" max="6148" width="12" style="2" bestFit="1" customWidth="1"/>
    <col min="6149" max="6149" width="48.42578125" style="2" customWidth="1"/>
    <col min="6150" max="6402" width="11.42578125" style="2"/>
    <col min="6403" max="6403" width="9.140625" style="2" customWidth="1"/>
    <col min="6404" max="6404" width="12" style="2" bestFit="1" customWidth="1"/>
    <col min="6405" max="6405" width="48.42578125" style="2" customWidth="1"/>
    <col min="6406" max="6658" width="11.42578125" style="2"/>
    <col min="6659" max="6659" width="9.140625" style="2" customWidth="1"/>
    <col min="6660" max="6660" width="12" style="2" bestFit="1" customWidth="1"/>
    <col min="6661" max="6661" width="48.42578125" style="2" customWidth="1"/>
    <col min="6662" max="6914" width="11.42578125" style="2"/>
    <col min="6915" max="6915" width="9.140625" style="2" customWidth="1"/>
    <col min="6916" max="6916" width="12" style="2" bestFit="1" customWidth="1"/>
    <col min="6917" max="6917" width="48.42578125" style="2" customWidth="1"/>
    <col min="6918" max="7170" width="11.42578125" style="2"/>
    <col min="7171" max="7171" width="9.140625" style="2" customWidth="1"/>
    <col min="7172" max="7172" width="12" style="2" bestFit="1" customWidth="1"/>
    <col min="7173" max="7173" width="48.42578125" style="2" customWidth="1"/>
    <col min="7174" max="7426" width="11.42578125" style="2"/>
    <col min="7427" max="7427" width="9.140625" style="2" customWidth="1"/>
    <col min="7428" max="7428" width="12" style="2" bestFit="1" customWidth="1"/>
    <col min="7429" max="7429" width="48.42578125" style="2" customWidth="1"/>
    <col min="7430" max="7682" width="11.42578125" style="2"/>
    <col min="7683" max="7683" width="9.140625" style="2" customWidth="1"/>
    <col min="7684" max="7684" width="12" style="2" bestFit="1" customWidth="1"/>
    <col min="7685" max="7685" width="48.42578125" style="2" customWidth="1"/>
    <col min="7686" max="7938" width="11.42578125" style="2"/>
    <col min="7939" max="7939" width="9.140625" style="2" customWidth="1"/>
    <col min="7940" max="7940" width="12" style="2" bestFit="1" customWidth="1"/>
    <col min="7941" max="7941" width="48.42578125" style="2" customWidth="1"/>
    <col min="7942" max="8194" width="11.42578125" style="2"/>
    <col min="8195" max="8195" width="9.140625" style="2" customWidth="1"/>
    <col min="8196" max="8196" width="12" style="2" bestFit="1" customWidth="1"/>
    <col min="8197" max="8197" width="48.42578125" style="2" customWidth="1"/>
    <col min="8198" max="8450" width="11.42578125" style="2"/>
    <col min="8451" max="8451" width="9.140625" style="2" customWidth="1"/>
    <col min="8452" max="8452" width="12" style="2" bestFit="1" customWidth="1"/>
    <col min="8453" max="8453" width="48.42578125" style="2" customWidth="1"/>
    <col min="8454" max="8706" width="11.42578125" style="2"/>
    <col min="8707" max="8707" width="9.140625" style="2" customWidth="1"/>
    <col min="8708" max="8708" width="12" style="2" bestFit="1" customWidth="1"/>
    <col min="8709" max="8709" width="48.42578125" style="2" customWidth="1"/>
    <col min="8710" max="8962" width="11.42578125" style="2"/>
    <col min="8963" max="8963" width="9.140625" style="2" customWidth="1"/>
    <col min="8964" max="8964" width="12" style="2" bestFit="1" customWidth="1"/>
    <col min="8965" max="8965" width="48.42578125" style="2" customWidth="1"/>
    <col min="8966" max="9218" width="11.42578125" style="2"/>
    <col min="9219" max="9219" width="9.140625" style="2" customWidth="1"/>
    <col min="9220" max="9220" width="12" style="2" bestFit="1" customWidth="1"/>
    <col min="9221" max="9221" width="48.42578125" style="2" customWidth="1"/>
    <col min="9222" max="9474" width="11.42578125" style="2"/>
    <col min="9475" max="9475" width="9.140625" style="2" customWidth="1"/>
    <col min="9476" max="9476" width="12" style="2" bestFit="1" customWidth="1"/>
    <col min="9477" max="9477" width="48.42578125" style="2" customWidth="1"/>
    <col min="9478" max="9730" width="11.42578125" style="2"/>
    <col min="9731" max="9731" width="9.140625" style="2" customWidth="1"/>
    <col min="9732" max="9732" width="12" style="2" bestFit="1" customWidth="1"/>
    <col min="9733" max="9733" width="48.42578125" style="2" customWidth="1"/>
    <col min="9734" max="9986" width="11.42578125" style="2"/>
    <col min="9987" max="9987" width="9.140625" style="2" customWidth="1"/>
    <col min="9988" max="9988" width="12" style="2" bestFit="1" customWidth="1"/>
    <col min="9989" max="9989" width="48.42578125" style="2" customWidth="1"/>
    <col min="9990" max="10242" width="11.42578125" style="2"/>
    <col min="10243" max="10243" width="9.140625" style="2" customWidth="1"/>
    <col min="10244" max="10244" width="12" style="2" bestFit="1" customWidth="1"/>
    <col min="10245" max="10245" width="48.42578125" style="2" customWidth="1"/>
    <col min="10246" max="10498" width="11.42578125" style="2"/>
    <col min="10499" max="10499" width="9.140625" style="2" customWidth="1"/>
    <col min="10500" max="10500" width="12" style="2" bestFit="1" customWidth="1"/>
    <col min="10501" max="10501" width="48.42578125" style="2" customWidth="1"/>
    <col min="10502" max="10754" width="11.42578125" style="2"/>
    <col min="10755" max="10755" width="9.140625" style="2" customWidth="1"/>
    <col min="10756" max="10756" width="12" style="2" bestFit="1" customWidth="1"/>
    <col min="10757" max="10757" width="48.42578125" style="2" customWidth="1"/>
    <col min="10758" max="11010" width="11.42578125" style="2"/>
    <col min="11011" max="11011" width="9.140625" style="2" customWidth="1"/>
    <col min="11012" max="11012" width="12" style="2" bestFit="1" customWidth="1"/>
    <col min="11013" max="11013" width="48.42578125" style="2" customWidth="1"/>
    <col min="11014" max="11266" width="11.42578125" style="2"/>
    <col min="11267" max="11267" width="9.140625" style="2" customWidth="1"/>
    <col min="11268" max="11268" width="12" style="2" bestFit="1" customWidth="1"/>
    <col min="11269" max="11269" width="48.42578125" style="2" customWidth="1"/>
    <col min="11270" max="11522" width="11.42578125" style="2"/>
    <col min="11523" max="11523" width="9.140625" style="2" customWidth="1"/>
    <col min="11524" max="11524" width="12" style="2" bestFit="1" customWidth="1"/>
    <col min="11525" max="11525" width="48.42578125" style="2" customWidth="1"/>
    <col min="11526" max="11778" width="11.42578125" style="2"/>
    <col min="11779" max="11779" width="9.140625" style="2" customWidth="1"/>
    <col min="11780" max="11780" width="12" style="2" bestFit="1" customWidth="1"/>
    <col min="11781" max="11781" width="48.42578125" style="2" customWidth="1"/>
    <col min="11782" max="12034" width="11.42578125" style="2"/>
    <col min="12035" max="12035" width="9.140625" style="2" customWidth="1"/>
    <col min="12036" max="12036" width="12" style="2" bestFit="1" customWidth="1"/>
    <col min="12037" max="12037" width="48.42578125" style="2" customWidth="1"/>
    <col min="12038" max="12290" width="11.42578125" style="2"/>
    <col min="12291" max="12291" width="9.140625" style="2" customWidth="1"/>
    <col min="12292" max="12292" width="12" style="2" bestFit="1" customWidth="1"/>
    <col min="12293" max="12293" width="48.42578125" style="2" customWidth="1"/>
    <col min="12294" max="12546" width="11.42578125" style="2"/>
    <col min="12547" max="12547" width="9.140625" style="2" customWidth="1"/>
    <col min="12548" max="12548" width="12" style="2" bestFit="1" customWidth="1"/>
    <col min="12549" max="12549" width="48.42578125" style="2" customWidth="1"/>
    <col min="12550" max="12802" width="11.42578125" style="2"/>
    <col min="12803" max="12803" width="9.140625" style="2" customWidth="1"/>
    <col min="12804" max="12804" width="12" style="2" bestFit="1" customWidth="1"/>
    <col min="12805" max="12805" width="48.42578125" style="2" customWidth="1"/>
    <col min="12806" max="13058" width="11.42578125" style="2"/>
    <col min="13059" max="13059" width="9.140625" style="2" customWidth="1"/>
    <col min="13060" max="13060" width="12" style="2" bestFit="1" customWidth="1"/>
    <col min="13061" max="13061" width="48.42578125" style="2" customWidth="1"/>
    <col min="13062" max="13314" width="11.42578125" style="2"/>
    <col min="13315" max="13315" width="9.140625" style="2" customWidth="1"/>
    <col min="13316" max="13316" width="12" style="2" bestFit="1" customWidth="1"/>
    <col min="13317" max="13317" width="48.42578125" style="2" customWidth="1"/>
    <col min="13318" max="13570" width="11.42578125" style="2"/>
    <col min="13571" max="13571" width="9.140625" style="2" customWidth="1"/>
    <col min="13572" max="13572" width="12" style="2" bestFit="1" customWidth="1"/>
    <col min="13573" max="13573" width="48.42578125" style="2" customWidth="1"/>
    <col min="13574" max="13826" width="11.42578125" style="2"/>
    <col min="13827" max="13827" width="9.140625" style="2" customWidth="1"/>
    <col min="13828" max="13828" width="12" style="2" bestFit="1" customWidth="1"/>
    <col min="13829" max="13829" width="48.42578125" style="2" customWidth="1"/>
    <col min="13830" max="14082" width="11.42578125" style="2"/>
    <col min="14083" max="14083" width="9.140625" style="2" customWidth="1"/>
    <col min="14084" max="14084" width="12" style="2" bestFit="1" customWidth="1"/>
    <col min="14085" max="14085" width="48.42578125" style="2" customWidth="1"/>
    <col min="14086" max="14338" width="11.42578125" style="2"/>
    <col min="14339" max="14339" width="9.140625" style="2" customWidth="1"/>
    <col min="14340" max="14340" width="12" style="2" bestFit="1" customWidth="1"/>
    <col min="14341" max="14341" width="48.42578125" style="2" customWidth="1"/>
    <col min="14342" max="14594" width="11.42578125" style="2"/>
    <col min="14595" max="14595" width="9.140625" style="2" customWidth="1"/>
    <col min="14596" max="14596" width="12" style="2" bestFit="1" customWidth="1"/>
    <col min="14597" max="14597" width="48.42578125" style="2" customWidth="1"/>
    <col min="14598" max="14850" width="11.42578125" style="2"/>
    <col min="14851" max="14851" width="9.140625" style="2" customWidth="1"/>
    <col min="14852" max="14852" width="12" style="2" bestFit="1" customWidth="1"/>
    <col min="14853" max="14853" width="48.42578125" style="2" customWidth="1"/>
    <col min="14854" max="15106" width="11.42578125" style="2"/>
    <col min="15107" max="15107" width="9.140625" style="2" customWidth="1"/>
    <col min="15108" max="15108" width="12" style="2" bestFit="1" customWidth="1"/>
    <col min="15109" max="15109" width="48.42578125" style="2" customWidth="1"/>
    <col min="15110" max="15362" width="11.42578125" style="2"/>
    <col min="15363" max="15363" width="9.140625" style="2" customWidth="1"/>
    <col min="15364" max="15364" width="12" style="2" bestFit="1" customWidth="1"/>
    <col min="15365" max="15365" width="48.42578125" style="2" customWidth="1"/>
    <col min="15366" max="15618" width="11.42578125" style="2"/>
    <col min="15619" max="15619" width="9.140625" style="2" customWidth="1"/>
    <col min="15620" max="15620" width="12" style="2" bestFit="1" customWidth="1"/>
    <col min="15621" max="15621" width="48.42578125" style="2" customWidth="1"/>
    <col min="15622" max="15874" width="11.42578125" style="2"/>
    <col min="15875" max="15875" width="9.140625" style="2" customWidth="1"/>
    <col min="15876" max="15876" width="12" style="2" bestFit="1" customWidth="1"/>
    <col min="15877" max="15877" width="48.42578125" style="2" customWidth="1"/>
    <col min="15878" max="16130" width="11.42578125" style="2"/>
    <col min="16131" max="16131" width="9.140625" style="2" customWidth="1"/>
    <col min="16132" max="16132" width="12" style="2" bestFit="1" customWidth="1"/>
    <col min="16133" max="16133" width="48.42578125" style="2" customWidth="1"/>
    <col min="16134" max="16384" width="11.42578125" style="2"/>
  </cols>
  <sheetData>
    <row r="5" spans="3:6" ht="30" customHeight="1">
      <c r="C5" s="319" t="s">
        <v>218</v>
      </c>
      <c r="D5" s="320"/>
      <c r="E5" s="320"/>
      <c r="F5" s="320"/>
    </row>
    <row r="6" spans="3:6" ht="20.25" customHeight="1">
      <c r="C6" s="15"/>
      <c r="D6" s="1"/>
      <c r="E6" s="1"/>
      <c r="F6" s="1"/>
    </row>
    <row r="7" spans="3:6" ht="24.95" customHeight="1">
      <c r="C7" s="15"/>
      <c r="D7" s="24" t="s">
        <v>19</v>
      </c>
      <c r="E7" s="25"/>
      <c r="F7" s="25"/>
    </row>
    <row r="8" spans="3:6" ht="20.100000000000001" customHeight="1">
      <c r="C8" s="15"/>
      <c r="D8" s="1"/>
      <c r="E8" s="1"/>
      <c r="F8" s="1"/>
    </row>
    <row r="9" spans="3:6" ht="20.100000000000001" customHeight="1">
      <c r="C9" s="1"/>
      <c r="D9" s="16" t="s">
        <v>10</v>
      </c>
      <c r="E9" s="6"/>
      <c r="F9" s="6"/>
    </row>
    <row r="10" spans="3:6" ht="22.5" customHeight="1">
      <c r="C10" s="1"/>
      <c r="D10" s="1"/>
      <c r="E10" s="17"/>
      <c r="F10" s="1"/>
    </row>
    <row r="11" spans="3:6" ht="22.5" customHeight="1">
      <c r="C11" s="1"/>
      <c r="D11" s="1"/>
      <c r="E11" s="18" t="s">
        <v>219</v>
      </c>
      <c r="F11" s="1"/>
    </row>
    <row r="12" spans="3:6" ht="22.5" customHeight="1">
      <c r="C12" s="1"/>
      <c r="D12" s="1"/>
      <c r="E12" s="18" t="s">
        <v>220</v>
      </c>
      <c r="F12" s="1"/>
    </row>
    <row r="13" spans="3:6" ht="22.5" customHeight="1">
      <c r="C13" s="1"/>
      <c r="D13" s="1"/>
      <c r="E13" s="18" t="s">
        <v>221</v>
      </c>
      <c r="F13" s="1"/>
    </row>
    <row r="14" spans="3:6" ht="22.5" customHeight="1">
      <c r="C14" s="1"/>
      <c r="D14" s="1"/>
      <c r="E14" s="18" t="s">
        <v>222</v>
      </c>
      <c r="F14" s="1"/>
    </row>
    <row r="15" spans="3:6" ht="22.5" customHeight="1">
      <c r="C15" s="1"/>
      <c r="D15" s="1"/>
      <c r="E15" s="18" t="s">
        <v>223</v>
      </c>
      <c r="F15" s="1"/>
    </row>
    <row r="16" spans="3:6" ht="22.5" customHeight="1">
      <c r="C16" s="1"/>
      <c r="D16" s="1"/>
      <c r="E16" s="17"/>
      <c r="F16" s="1"/>
    </row>
    <row r="17" spans="3:9" ht="22.5" customHeight="1">
      <c r="C17" s="15"/>
      <c r="D17" s="24" t="str">
        <f>actualizaciones!A2</f>
        <v xml:space="preserve">acumulado julio 2010 </v>
      </c>
      <c r="E17" s="25"/>
      <c r="F17" s="25"/>
    </row>
    <row r="18" spans="3:9" ht="22.5" customHeight="1">
      <c r="C18" s="15"/>
      <c r="D18" s="1"/>
      <c r="E18" s="1"/>
      <c r="F18" s="1"/>
    </row>
    <row r="19" spans="3:9" ht="22.5" customHeight="1">
      <c r="C19" s="1"/>
      <c r="D19" s="16" t="s">
        <v>10</v>
      </c>
      <c r="E19" s="6"/>
      <c r="F19" s="6"/>
    </row>
    <row r="20" spans="3:9" ht="22.5" customHeight="1">
      <c r="C20" s="1"/>
      <c r="D20" s="1"/>
      <c r="E20" s="17"/>
      <c r="F20" s="1"/>
    </row>
    <row r="21" spans="3:9" ht="22.5" customHeight="1">
      <c r="C21" s="1"/>
      <c r="D21" s="1"/>
      <c r="E21" s="18" t="s">
        <v>11</v>
      </c>
      <c r="F21" s="1"/>
    </row>
    <row r="22" spans="3:9" ht="22.5" customHeight="1">
      <c r="C22" s="1"/>
      <c r="D22" s="1"/>
      <c r="E22" s="18" t="s">
        <v>224</v>
      </c>
      <c r="F22" s="1"/>
    </row>
    <row r="23" spans="3:9" ht="22.5" customHeight="1">
      <c r="C23" s="1"/>
      <c r="D23" s="1"/>
      <c r="E23" s="18" t="s">
        <v>225</v>
      </c>
      <c r="F23" s="1"/>
    </row>
    <row r="24" spans="3:9" ht="22.5" customHeight="1">
      <c r="C24" s="1"/>
      <c r="D24" s="1"/>
      <c r="E24" s="18" t="s">
        <v>13</v>
      </c>
      <c r="F24" s="1"/>
    </row>
    <row r="25" spans="3:9" ht="22.5" customHeight="1">
      <c r="C25" s="1"/>
      <c r="D25" s="1"/>
      <c r="E25" s="17"/>
      <c r="F25" s="1"/>
    </row>
    <row r="26" spans="3:9" ht="22.5" customHeight="1">
      <c r="C26" s="1"/>
      <c r="D26" s="16" t="s">
        <v>17</v>
      </c>
      <c r="E26" s="6"/>
      <c r="F26" s="6"/>
    </row>
    <row r="27" spans="3:9" ht="22.5" customHeight="1">
      <c r="C27" s="1"/>
      <c r="D27" s="1"/>
      <c r="E27" s="17"/>
      <c r="F27" s="1"/>
    </row>
    <row r="28" spans="3:9" ht="22.5" customHeight="1">
      <c r="C28" s="1"/>
      <c r="D28" s="1"/>
      <c r="E28" s="18" t="s">
        <v>226</v>
      </c>
      <c r="F28" s="1"/>
      <c r="G28" s="12"/>
      <c r="H28" s="12"/>
      <c r="I28" s="12"/>
    </row>
    <row r="29" spans="3:9" ht="22.5" customHeight="1">
      <c r="C29" s="1"/>
      <c r="D29" s="1"/>
      <c r="E29" s="18" t="s">
        <v>227</v>
      </c>
      <c r="F29" s="1"/>
    </row>
    <row r="30" spans="3:9" ht="22.5" customHeight="1">
      <c r="C30" s="1"/>
      <c r="D30" s="1"/>
      <c r="E30" s="18" t="s">
        <v>24</v>
      </c>
      <c r="F30" s="1"/>
    </row>
    <row r="31" spans="3:9" ht="22.5" customHeight="1">
      <c r="C31" s="1"/>
      <c r="D31" s="1"/>
      <c r="E31" s="321"/>
      <c r="F31" s="1"/>
    </row>
    <row r="32" spans="3:9" ht="15" customHeight="1">
      <c r="C32" s="21"/>
    </row>
    <row r="33" spans="3:6" ht="15" customHeight="1">
      <c r="C33" s="11" t="s">
        <v>8</v>
      </c>
      <c r="D33" s="11"/>
      <c r="E33" s="11"/>
      <c r="F33" s="11"/>
    </row>
    <row r="34" spans="3:6" ht="15" customHeight="1"/>
    <row r="35" spans="3:6" ht="15" customHeight="1"/>
    <row r="36" spans="3:6" ht="15" customHeight="1">
      <c r="D36" s="22"/>
      <c r="E36" s="23"/>
    </row>
    <row r="37" spans="3:6" ht="15" customHeight="1"/>
    <row r="38" spans="3:6" ht="15" customHeight="1">
      <c r="C38" s="21"/>
    </row>
    <row r="39" spans="3:6" ht="15" customHeight="1">
      <c r="C39" s="12"/>
      <c r="D39" s="12"/>
      <c r="E39" s="12"/>
      <c r="F39" s="12"/>
    </row>
    <row r="40" spans="3:6" ht="15" customHeight="1"/>
    <row r="41" spans="3:6" ht="15" customHeight="1"/>
    <row r="42" spans="3:6" ht="15" customHeight="1"/>
    <row r="43" spans="3:6" ht="15" customHeight="1">
      <c r="C43" s="21"/>
    </row>
    <row r="44" spans="3:6" ht="15" customHeight="1"/>
    <row r="45" spans="3:6" ht="15" customHeight="1"/>
    <row r="46" spans="3:6" ht="15" customHeight="1"/>
    <row r="47" spans="3:6" ht="15" customHeight="1"/>
    <row r="48" spans="3:6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</sheetData>
  <mergeCells count="1">
    <mergeCell ref="C33:F33"/>
  </mergeCells>
  <hyperlinks>
    <hyperlink ref="E14" location="'tablas pernocta cat ev anual'!A1" tooltip="Tipología y categoría de establecimiento" display="Tipología y categoría de los establecimientos"/>
    <hyperlink ref="E21" location="'Pernoctaciones tipología'!A1" tooltip="Tipología de establecimiento" display="Tipología de establecimiento"/>
    <hyperlink ref="E22" location="'Pernoctaciones zonas y tipologí'!A1" tooltip="Zonas y tipología de establecimiento" display="Zonas y tipología de establecimiento"/>
    <hyperlink ref="E24" location="'Pernoctaciones  tipolog y categ'!A1" tooltip="Tipología y categoría de establecimiento" display="Tipología y categoría de establecimiento"/>
    <hyperlink ref="E28" location="'Gráfica pernoct zonas tipología'!A1" tooltip="Gráfica zona y tipología" display="Zonas y tipología alojativa"/>
    <hyperlink ref="E29" location="'Gráfica pernoct tipolog'!A1" tooltip="Gráfica tipología alojativa" display="Tipología alojativa"/>
    <hyperlink ref="E23" location="'Pernoctacion zona por tipología'!A1" tooltip="Tipología y categoría de establecimiento" display="Tipología y zona de establecimiento"/>
    <hyperlink ref="E11" location="'Pernoctacion mensual'!A1" tooltip="Evolución mensual" display="Evolución mensual"/>
    <hyperlink ref="E30" location="'Gráfica pernoctaciones mensual'!A1" tooltip="Gráfica evolución mensual pernoctaciones" display="Evolución mensual"/>
    <hyperlink ref="E13" location="'evoución PERNOCTA zona'!A1" tooltip="Variación interanual por zona turística y tipología de establecimiento" display="Variación interanual por zona turística y tipología de establecimiento"/>
    <hyperlink ref="E15" location="'evolución pernocta cat ev anual'!A1" tooltip="Variación interanual por  tipología y categoría de establecimiento" display="Variación interanual por  tipología y categoría de establecimiento"/>
    <hyperlink ref="E12" location="'Tablas PERNOCTA zona'!A1" tooltip="Evolución anual por zona turística y tipología de establecimiento" display="Evolución anual por zona turística y tipología de establecimiento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9:L28"/>
  <sheetViews>
    <sheetView showGridLines="0" showRowColHeaders="0" showOutlineSymbols="0" zoomScaleNormal="100" workbookViewId="0">
      <selection activeCell="B25" sqref="B25"/>
    </sheetView>
  </sheetViews>
  <sheetFormatPr baseColWidth="10" defaultRowHeight="12.75"/>
  <cols>
    <col min="1" max="2" width="11.42578125" style="23"/>
    <col min="3" max="3" width="36.7109375" style="23" customWidth="1"/>
    <col min="4" max="4" width="12.7109375" style="23" customWidth="1"/>
    <col min="5" max="5" width="10.7109375" style="23" customWidth="1"/>
    <col min="6" max="6" width="12.7109375" style="23" customWidth="1"/>
    <col min="7" max="8" width="10.7109375" style="23" customWidth="1"/>
    <col min="9" max="15" width="11.42578125" style="23"/>
    <col min="16" max="16" width="13.28515625" style="23" customWidth="1"/>
    <col min="17" max="258" width="11.42578125" style="23"/>
    <col min="259" max="259" width="36.7109375" style="23" customWidth="1"/>
    <col min="260" max="260" width="12.7109375" style="23" customWidth="1"/>
    <col min="261" max="261" width="10.7109375" style="23" customWidth="1"/>
    <col min="262" max="262" width="12.7109375" style="23" customWidth="1"/>
    <col min="263" max="264" width="10.7109375" style="23" customWidth="1"/>
    <col min="265" max="271" width="11.42578125" style="23"/>
    <col min="272" max="272" width="13.28515625" style="23" customWidth="1"/>
    <col min="273" max="514" width="11.42578125" style="23"/>
    <col min="515" max="515" width="36.7109375" style="23" customWidth="1"/>
    <col min="516" max="516" width="12.7109375" style="23" customWidth="1"/>
    <col min="517" max="517" width="10.7109375" style="23" customWidth="1"/>
    <col min="518" max="518" width="12.7109375" style="23" customWidth="1"/>
    <col min="519" max="520" width="10.7109375" style="23" customWidth="1"/>
    <col min="521" max="527" width="11.42578125" style="23"/>
    <col min="528" max="528" width="13.28515625" style="23" customWidth="1"/>
    <col min="529" max="770" width="11.42578125" style="23"/>
    <col min="771" max="771" width="36.7109375" style="23" customWidth="1"/>
    <col min="772" max="772" width="12.7109375" style="23" customWidth="1"/>
    <col min="773" max="773" width="10.7109375" style="23" customWidth="1"/>
    <col min="774" max="774" width="12.7109375" style="23" customWidth="1"/>
    <col min="775" max="776" width="10.7109375" style="23" customWidth="1"/>
    <col min="777" max="783" width="11.42578125" style="23"/>
    <col min="784" max="784" width="13.28515625" style="23" customWidth="1"/>
    <col min="785" max="1026" width="11.42578125" style="23"/>
    <col min="1027" max="1027" width="36.7109375" style="23" customWidth="1"/>
    <col min="1028" max="1028" width="12.7109375" style="23" customWidth="1"/>
    <col min="1029" max="1029" width="10.7109375" style="23" customWidth="1"/>
    <col min="1030" max="1030" width="12.7109375" style="23" customWidth="1"/>
    <col min="1031" max="1032" width="10.7109375" style="23" customWidth="1"/>
    <col min="1033" max="1039" width="11.42578125" style="23"/>
    <col min="1040" max="1040" width="13.28515625" style="23" customWidth="1"/>
    <col min="1041" max="1282" width="11.42578125" style="23"/>
    <col min="1283" max="1283" width="36.7109375" style="23" customWidth="1"/>
    <col min="1284" max="1284" width="12.7109375" style="23" customWidth="1"/>
    <col min="1285" max="1285" width="10.7109375" style="23" customWidth="1"/>
    <col min="1286" max="1286" width="12.7109375" style="23" customWidth="1"/>
    <col min="1287" max="1288" width="10.7109375" style="23" customWidth="1"/>
    <col min="1289" max="1295" width="11.42578125" style="23"/>
    <col min="1296" max="1296" width="13.28515625" style="23" customWidth="1"/>
    <col min="1297" max="1538" width="11.42578125" style="23"/>
    <col min="1539" max="1539" width="36.7109375" style="23" customWidth="1"/>
    <col min="1540" max="1540" width="12.7109375" style="23" customWidth="1"/>
    <col min="1541" max="1541" width="10.7109375" style="23" customWidth="1"/>
    <col min="1542" max="1542" width="12.7109375" style="23" customWidth="1"/>
    <col min="1543" max="1544" width="10.7109375" style="23" customWidth="1"/>
    <col min="1545" max="1551" width="11.42578125" style="23"/>
    <col min="1552" max="1552" width="13.28515625" style="23" customWidth="1"/>
    <col min="1553" max="1794" width="11.42578125" style="23"/>
    <col min="1795" max="1795" width="36.7109375" style="23" customWidth="1"/>
    <col min="1796" max="1796" width="12.7109375" style="23" customWidth="1"/>
    <col min="1797" max="1797" width="10.7109375" style="23" customWidth="1"/>
    <col min="1798" max="1798" width="12.7109375" style="23" customWidth="1"/>
    <col min="1799" max="1800" width="10.7109375" style="23" customWidth="1"/>
    <col min="1801" max="1807" width="11.42578125" style="23"/>
    <col min="1808" max="1808" width="13.28515625" style="23" customWidth="1"/>
    <col min="1809" max="2050" width="11.42578125" style="23"/>
    <col min="2051" max="2051" width="36.7109375" style="23" customWidth="1"/>
    <col min="2052" max="2052" width="12.7109375" style="23" customWidth="1"/>
    <col min="2053" max="2053" width="10.7109375" style="23" customWidth="1"/>
    <col min="2054" max="2054" width="12.7109375" style="23" customWidth="1"/>
    <col min="2055" max="2056" width="10.7109375" style="23" customWidth="1"/>
    <col min="2057" max="2063" width="11.42578125" style="23"/>
    <col min="2064" max="2064" width="13.28515625" style="23" customWidth="1"/>
    <col min="2065" max="2306" width="11.42578125" style="23"/>
    <col min="2307" max="2307" width="36.7109375" style="23" customWidth="1"/>
    <col min="2308" max="2308" width="12.7109375" style="23" customWidth="1"/>
    <col min="2309" max="2309" width="10.7109375" style="23" customWidth="1"/>
    <col min="2310" max="2310" width="12.7109375" style="23" customWidth="1"/>
    <col min="2311" max="2312" width="10.7109375" style="23" customWidth="1"/>
    <col min="2313" max="2319" width="11.42578125" style="23"/>
    <col min="2320" max="2320" width="13.28515625" style="23" customWidth="1"/>
    <col min="2321" max="2562" width="11.42578125" style="23"/>
    <col min="2563" max="2563" width="36.7109375" style="23" customWidth="1"/>
    <col min="2564" max="2564" width="12.7109375" style="23" customWidth="1"/>
    <col min="2565" max="2565" width="10.7109375" style="23" customWidth="1"/>
    <col min="2566" max="2566" width="12.7109375" style="23" customWidth="1"/>
    <col min="2567" max="2568" width="10.7109375" style="23" customWidth="1"/>
    <col min="2569" max="2575" width="11.42578125" style="23"/>
    <col min="2576" max="2576" width="13.28515625" style="23" customWidth="1"/>
    <col min="2577" max="2818" width="11.42578125" style="23"/>
    <col min="2819" max="2819" width="36.7109375" style="23" customWidth="1"/>
    <col min="2820" max="2820" width="12.7109375" style="23" customWidth="1"/>
    <col min="2821" max="2821" width="10.7109375" style="23" customWidth="1"/>
    <col min="2822" max="2822" width="12.7109375" style="23" customWidth="1"/>
    <col min="2823" max="2824" width="10.7109375" style="23" customWidth="1"/>
    <col min="2825" max="2831" width="11.42578125" style="23"/>
    <col min="2832" max="2832" width="13.28515625" style="23" customWidth="1"/>
    <col min="2833" max="3074" width="11.42578125" style="23"/>
    <col min="3075" max="3075" width="36.7109375" style="23" customWidth="1"/>
    <col min="3076" max="3076" width="12.7109375" style="23" customWidth="1"/>
    <col min="3077" max="3077" width="10.7109375" style="23" customWidth="1"/>
    <col min="3078" max="3078" width="12.7109375" style="23" customWidth="1"/>
    <col min="3079" max="3080" width="10.7109375" style="23" customWidth="1"/>
    <col min="3081" max="3087" width="11.42578125" style="23"/>
    <col min="3088" max="3088" width="13.28515625" style="23" customWidth="1"/>
    <col min="3089" max="3330" width="11.42578125" style="23"/>
    <col min="3331" max="3331" width="36.7109375" style="23" customWidth="1"/>
    <col min="3332" max="3332" width="12.7109375" style="23" customWidth="1"/>
    <col min="3333" max="3333" width="10.7109375" style="23" customWidth="1"/>
    <col min="3334" max="3334" width="12.7109375" style="23" customWidth="1"/>
    <col min="3335" max="3336" width="10.7109375" style="23" customWidth="1"/>
    <col min="3337" max="3343" width="11.42578125" style="23"/>
    <col min="3344" max="3344" width="13.28515625" style="23" customWidth="1"/>
    <col min="3345" max="3586" width="11.42578125" style="23"/>
    <col min="3587" max="3587" width="36.7109375" style="23" customWidth="1"/>
    <col min="3588" max="3588" width="12.7109375" style="23" customWidth="1"/>
    <col min="3589" max="3589" width="10.7109375" style="23" customWidth="1"/>
    <col min="3590" max="3590" width="12.7109375" style="23" customWidth="1"/>
    <col min="3591" max="3592" width="10.7109375" style="23" customWidth="1"/>
    <col min="3593" max="3599" width="11.42578125" style="23"/>
    <col min="3600" max="3600" width="13.28515625" style="23" customWidth="1"/>
    <col min="3601" max="3842" width="11.42578125" style="23"/>
    <col min="3843" max="3843" width="36.7109375" style="23" customWidth="1"/>
    <col min="3844" max="3844" width="12.7109375" style="23" customWidth="1"/>
    <col min="3845" max="3845" width="10.7109375" style="23" customWidth="1"/>
    <col min="3846" max="3846" width="12.7109375" style="23" customWidth="1"/>
    <col min="3847" max="3848" width="10.7109375" style="23" customWidth="1"/>
    <col min="3849" max="3855" width="11.42578125" style="23"/>
    <col min="3856" max="3856" width="13.28515625" style="23" customWidth="1"/>
    <col min="3857" max="4098" width="11.42578125" style="23"/>
    <col min="4099" max="4099" width="36.7109375" style="23" customWidth="1"/>
    <col min="4100" max="4100" width="12.7109375" style="23" customWidth="1"/>
    <col min="4101" max="4101" width="10.7109375" style="23" customWidth="1"/>
    <col min="4102" max="4102" width="12.7109375" style="23" customWidth="1"/>
    <col min="4103" max="4104" width="10.7109375" style="23" customWidth="1"/>
    <col min="4105" max="4111" width="11.42578125" style="23"/>
    <col min="4112" max="4112" width="13.28515625" style="23" customWidth="1"/>
    <col min="4113" max="4354" width="11.42578125" style="23"/>
    <col min="4355" max="4355" width="36.7109375" style="23" customWidth="1"/>
    <col min="4356" max="4356" width="12.7109375" style="23" customWidth="1"/>
    <col min="4357" max="4357" width="10.7109375" style="23" customWidth="1"/>
    <col min="4358" max="4358" width="12.7109375" style="23" customWidth="1"/>
    <col min="4359" max="4360" width="10.7109375" style="23" customWidth="1"/>
    <col min="4361" max="4367" width="11.42578125" style="23"/>
    <col min="4368" max="4368" width="13.28515625" style="23" customWidth="1"/>
    <col min="4369" max="4610" width="11.42578125" style="23"/>
    <col min="4611" max="4611" width="36.7109375" style="23" customWidth="1"/>
    <col min="4612" max="4612" width="12.7109375" style="23" customWidth="1"/>
    <col min="4613" max="4613" width="10.7109375" style="23" customWidth="1"/>
    <col min="4614" max="4614" width="12.7109375" style="23" customWidth="1"/>
    <col min="4615" max="4616" width="10.7109375" style="23" customWidth="1"/>
    <col min="4617" max="4623" width="11.42578125" style="23"/>
    <col min="4624" max="4624" width="13.28515625" style="23" customWidth="1"/>
    <col min="4625" max="4866" width="11.42578125" style="23"/>
    <col min="4867" max="4867" width="36.7109375" style="23" customWidth="1"/>
    <col min="4868" max="4868" width="12.7109375" style="23" customWidth="1"/>
    <col min="4869" max="4869" width="10.7109375" style="23" customWidth="1"/>
    <col min="4870" max="4870" width="12.7109375" style="23" customWidth="1"/>
    <col min="4871" max="4872" width="10.7109375" style="23" customWidth="1"/>
    <col min="4873" max="4879" width="11.42578125" style="23"/>
    <col min="4880" max="4880" width="13.28515625" style="23" customWidth="1"/>
    <col min="4881" max="5122" width="11.42578125" style="23"/>
    <col min="5123" max="5123" width="36.7109375" style="23" customWidth="1"/>
    <col min="5124" max="5124" width="12.7109375" style="23" customWidth="1"/>
    <col min="5125" max="5125" width="10.7109375" style="23" customWidth="1"/>
    <col min="5126" max="5126" width="12.7109375" style="23" customWidth="1"/>
    <col min="5127" max="5128" width="10.7109375" style="23" customWidth="1"/>
    <col min="5129" max="5135" width="11.42578125" style="23"/>
    <col min="5136" max="5136" width="13.28515625" style="23" customWidth="1"/>
    <col min="5137" max="5378" width="11.42578125" style="23"/>
    <col min="5379" max="5379" width="36.7109375" style="23" customWidth="1"/>
    <col min="5380" max="5380" width="12.7109375" style="23" customWidth="1"/>
    <col min="5381" max="5381" width="10.7109375" style="23" customWidth="1"/>
    <col min="5382" max="5382" width="12.7109375" style="23" customWidth="1"/>
    <col min="5383" max="5384" width="10.7109375" style="23" customWidth="1"/>
    <col min="5385" max="5391" width="11.42578125" style="23"/>
    <col min="5392" max="5392" width="13.28515625" style="23" customWidth="1"/>
    <col min="5393" max="5634" width="11.42578125" style="23"/>
    <col min="5635" max="5635" width="36.7109375" style="23" customWidth="1"/>
    <col min="5636" max="5636" width="12.7109375" style="23" customWidth="1"/>
    <col min="5637" max="5637" width="10.7109375" style="23" customWidth="1"/>
    <col min="5638" max="5638" width="12.7109375" style="23" customWidth="1"/>
    <col min="5639" max="5640" width="10.7109375" style="23" customWidth="1"/>
    <col min="5641" max="5647" width="11.42578125" style="23"/>
    <col min="5648" max="5648" width="13.28515625" style="23" customWidth="1"/>
    <col min="5649" max="5890" width="11.42578125" style="23"/>
    <col min="5891" max="5891" width="36.7109375" style="23" customWidth="1"/>
    <col min="5892" max="5892" width="12.7109375" style="23" customWidth="1"/>
    <col min="5893" max="5893" width="10.7109375" style="23" customWidth="1"/>
    <col min="5894" max="5894" width="12.7109375" style="23" customWidth="1"/>
    <col min="5895" max="5896" width="10.7109375" style="23" customWidth="1"/>
    <col min="5897" max="5903" width="11.42578125" style="23"/>
    <col min="5904" max="5904" width="13.28515625" style="23" customWidth="1"/>
    <col min="5905" max="6146" width="11.42578125" style="23"/>
    <col min="6147" max="6147" width="36.7109375" style="23" customWidth="1"/>
    <col min="6148" max="6148" width="12.7109375" style="23" customWidth="1"/>
    <col min="6149" max="6149" width="10.7109375" style="23" customWidth="1"/>
    <col min="6150" max="6150" width="12.7109375" style="23" customWidth="1"/>
    <col min="6151" max="6152" width="10.7109375" style="23" customWidth="1"/>
    <col min="6153" max="6159" width="11.42578125" style="23"/>
    <col min="6160" max="6160" width="13.28515625" style="23" customWidth="1"/>
    <col min="6161" max="6402" width="11.42578125" style="23"/>
    <col min="6403" max="6403" width="36.7109375" style="23" customWidth="1"/>
    <col min="6404" max="6404" width="12.7109375" style="23" customWidth="1"/>
    <col min="6405" max="6405" width="10.7109375" style="23" customWidth="1"/>
    <col min="6406" max="6406" width="12.7109375" style="23" customWidth="1"/>
    <col min="6407" max="6408" width="10.7109375" style="23" customWidth="1"/>
    <col min="6409" max="6415" width="11.42578125" style="23"/>
    <col min="6416" max="6416" width="13.28515625" style="23" customWidth="1"/>
    <col min="6417" max="6658" width="11.42578125" style="23"/>
    <col min="6659" max="6659" width="36.7109375" style="23" customWidth="1"/>
    <col min="6660" max="6660" width="12.7109375" style="23" customWidth="1"/>
    <col min="6661" max="6661" width="10.7109375" style="23" customWidth="1"/>
    <col min="6662" max="6662" width="12.7109375" style="23" customWidth="1"/>
    <col min="6663" max="6664" width="10.7109375" style="23" customWidth="1"/>
    <col min="6665" max="6671" width="11.42578125" style="23"/>
    <col min="6672" max="6672" width="13.28515625" style="23" customWidth="1"/>
    <col min="6673" max="6914" width="11.42578125" style="23"/>
    <col min="6915" max="6915" width="36.7109375" style="23" customWidth="1"/>
    <col min="6916" max="6916" width="12.7109375" style="23" customWidth="1"/>
    <col min="6917" max="6917" width="10.7109375" style="23" customWidth="1"/>
    <col min="6918" max="6918" width="12.7109375" style="23" customWidth="1"/>
    <col min="6919" max="6920" width="10.7109375" style="23" customWidth="1"/>
    <col min="6921" max="6927" width="11.42578125" style="23"/>
    <col min="6928" max="6928" width="13.28515625" style="23" customWidth="1"/>
    <col min="6929" max="7170" width="11.42578125" style="23"/>
    <col min="7171" max="7171" width="36.7109375" style="23" customWidth="1"/>
    <col min="7172" max="7172" width="12.7109375" style="23" customWidth="1"/>
    <col min="7173" max="7173" width="10.7109375" style="23" customWidth="1"/>
    <col min="7174" max="7174" width="12.7109375" style="23" customWidth="1"/>
    <col min="7175" max="7176" width="10.7109375" style="23" customWidth="1"/>
    <col min="7177" max="7183" width="11.42578125" style="23"/>
    <col min="7184" max="7184" width="13.28515625" style="23" customWidth="1"/>
    <col min="7185" max="7426" width="11.42578125" style="23"/>
    <col min="7427" max="7427" width="36.7109375" style="23" customWidth="1"/>
    <col min="7428" max="7428" width="12.7109375" style="23" customWidth="1"/>
    <col min="7429" max="7429" width="10.7109375" style="23" customWidth="1"/>
    <col min="7430" max="7430" width="12.7109375" style="23" customWidth="1"/>
    <col min="7431" max="7432" width="10.7109375" style="23" customWidth="1"/>
    <col min="7433" max="7439" width="11.42578125" style="23"/>
    <col min="7440" max="7440" width="13.28515625" style="23" customWidth="1"/>
    <col min="7441" max="7682" width="11.42578125" style="23"/>
    <col min="7683" max="7683" width="36.7109375" style="23" customWidth="1"/>
    <col min="7684" max="7684" width="12.7109375" style="23" customWidth="1"/>
    <col min="7685" max="7685" width="10.7109375" style="23" customWidth="1"/>
    <col min="7686" max="7686" width="12.7109375" style="23" customWidth="1"/>
    <col min="7687" max="7688" width="10.7109375" style="23" customWidth="1"/>
    <col min="7689" max="7695" width="11.42578125" style="23"/>
    <col min="7696" max="7696" width="13.28515625" style="23" customWidth="1"/>
    <col min="7697" max="7938" width="11.42578125" style="23"/>
    <col min="7939" max="7939" width="36.7109375" style="23" customWidth="1"/>
    <col min="7940" max="7940" width="12.7109375" style="23" customWidth="1"/>
    <col min="7941" max="7941" width="10.7109375" style="23" customWidth="1"/>
    <col min="7942" max="7942" width="12.7109375" style="23" customWidth="1"/>
    <col min="7943" max="7944" width="10.7109375" style="23" customWidth="1"/>
    <col min="7945" max="7951" width="11.42578125" style="23"/>
    <col min="7952" max="7952" width="13.28515625" style="23" customWidth="1"/>
    <col min="7953" max="8194" width="11.42578125" style="23"/>
    <col min="8195" max="8195" width="36.7109375" style="23" customWidth="1"/>
    <col min="8196" max="8196" width="12.7109375" style="23" customWidth="1"/>
    <col min="8197" max="8197" width="10.7109375" style="23" customWidth="1"/>
    <col min="8198" max="8198" width="12.7109375" style="23" customWidth="1"/>
    <col min="8199" max="8200" width="10.7109375" style="23" customWidth="1"/>
    <col min="8201" max="8207" width="11.42578125" style="23"/>
    <col min="8208" max="8208" width="13.28515625" style="23" customWidth="1"/>
    <col min="8209" max="8450" width="11.42578125" style="23"/>
    <col min="8451" max="8451" width="36.7109375" style="23" customWidth="1"/>
    <col min="8452" max="8452" width="12.7109375" style="23" customWidth="1"/>
    <col min="8453" max="8453" width="10.7109375" style="23" customWidth="1"/>
    <col min="8454" max="8454" width="12.7109375" style="23" customWidth="1"/>
    <col min="8455" max="8456" width="10.7109375" style="23" customWidth="1"/>
    <col min="8457" max="8463" width="11.42578125" style="23"/>
    <col min="8464" max="8464" width="13.28515625" style="23" customWidth="1"/>
    <col min="8465" max="8706" width="11.42578125" style="23"/>
    <col min="8707" max="8707" width="36.7109375" style="23" customWidth="1"/>
    <col min="8708" max="8708" width="12.7109375" style="23" customWidth="1"/>
    <col min="8709" max="8709" width="10.7109375" style="23" customWidth="1"/>
    <col min="8710" max="8710" width="12.7109375" style="23" customWidth="1"/>
    <col min="8711" max="8712" width="10.7109375" style="23" customWidth="1"/>
    <col min="8713" max="8719" width="11.42578125" style="23"/>
    <col min="8720" max="8720" width="13.28515625" style="23" customWidth="1"/>
    <col min="8721" max="8962" width="11.42578125" style="23"/>
    <col min="8963" max="8963" width="36.7109375" style="23" customWidth="1"/>
    <col min="8964" max="8964" width="12.7109375" style="23" customWidth="1"/>
    <col min="8965" max="8965" width="10.7109375" style="23" customWidth="1"/>
    <col min="8966" max="8966" width="12.7109375" style="23" customWidth="1"/>
    <col min="8967" max="8968" width="10.7109375" style="23" customWidth="1"/>
    <col min="8969" max="8975" width="11.42578125" style="23"/>
    <col min="8976" max="8976" width="13.28515625" style="23" customWidth="1"/>
    <col min="8977" max="9218" width="11.42578125" style="23"/>
    <col min="9219" max="9219" width="36.7109375" style="23" customWidth="1"/>
    <col min="9220" max="9220" width="12.7109375" style="23" customWidth="1"/>
    <col min="9221" max="9221" width="10.7109375" style="23" customWidth="1"/>
    <col min="9222" max="9222" width="12.7109375" style="23" customWidth="1"/>
    <col min="9223" max="9224" width="10.7109375" style="23" customWidth="1"/>
    <col min="9225" max="9231" width="11.42578125" style="23"/>
    <col min="9232" max="9232" width="13.28515625" style="23" customWidth="1"/>
    <col min="9233" max="9474" width="11.42578125" style="23"/>
    <col min="9475" max="9475" width="36.7109375" style="23" customWidth="1"/>
    <col min="9476" max="9476" width="12.7109375" style="23" customWidth="1"/>
    <col min="9477" max="9477" width="10.7109375" style="23" customWidth="1"/>
    <col min="9478" max="9478" width="12.7109375" style="23" customWidth="1"/>
    <col min="9479" max="9480" width="10.7109375" style="23" customWidth="1"/>
    <col min="9481" max="9487" width="11.42578125" style="23"/>
    <col min="9488" max="9488" width="13.28515625" style="23" customWidth="1"/>
    <col min="9489" max="9730" width="11.42578125" style="23"/>
    <col min="9731" max="9731" width="36.7109375" style="23" customWidth="1"/>
    <col min="9732" max="9732" width="12.7109375" style="23" customWidth="1"/>
    <col min="9733" max="9733" width="10.7109375" style="23" customWidth="1"/>
    <col min="9734" max="9734" width="12.7109375" style="23" customWidth="1"/>
    <col min="9735" max="9736" width="10.7109375" style="23" customWidth="1"/>
    <col min="9737" max="9743" width="11.42578125" style="23"/>
    <col min="9744" max="9744" width="13.28515625" style="23" customWidth="1"/>
    <col min="9745" max="9986" width="11.42578125" style="23"/>
    <col min="9987" max="9987" width="36.7109375" style="23" customWidth="1"/>
    <col min="9988" max="9988" width="12.7109375" style="23" customWidth="1"/>
    <col min="9989" max="9989" width="10.7109375" style="23" customWidth="1"/>
    <col min="9990" max="9990" width="12.7109375" style="23" customWidth="1"/>
    <col min="9991" max="9992" width="10.7109375" style="23" customWidth="1"/>
    <col min="9993" max="9999" width="11.42578125" style="23"/>
    <col min="10000" max="10000" width="13.28515625" style="23" customWidth="1"/>
    <col min="10001" max="10242" width="11.42578125" style="23"/>
    <col min="10243" max="10243" width="36.7109375" style="23" customWidth="1"/>
    <col min="10244" max="10244" width="12.7109375" style="23" customWidth="1"/>
    <col min="10245" max="10245" width="10.7109375" style="23" customWidth="1"/>
    <col min="10246" max="10246" width="12.7109375" style="23" customWidth="1"/>
    <col min="10247" max="10248" width="10.7109375" style="23" customWidth="1"/>
    <col min="10249" max="10255" width="11.42578125" style="23"/>
    <col min="10256" max="10256" width="13.28515625" style="23" customWidth="1"/>
    <col min="10257" max="10498" width="11.42578125" style="23"/>
    <col min="10499" max="10499" width="36.7109375" style="23" customWidth="1"/>
    <col min="10500" max="10500" width="12.7109375" style="23" customWidth="1"/>
    <col min="10501" max="10501" width="10.7109375" style="23" customWidth="1"/>
    <col min="10502" max="10502" width="12.7109375" style="23" customWidth="1"/>
    <col min="10503" max="10504" width="10.7109375" style="23" customWidth="1"/>
    <col min="10505" max="10511" width="11.42578125" style="23"/>
    <col min="10512" max="10512" width="13.28515625" style="23" customWidth="1"/>
    <col min="10513" max="10754" width="11.42578125" style="23"/>
    <col min="10755" max="10755" width="36.7109375" style="23" customWidth="1"/>
    <col min="10756" max="10756" width="12.7109375" style="23" customWidth="1"/>
    <col min="10757" max="10757" width="10.7109375" style="23" customWidth="1"/>
    <col min="10758" max="10758" width="12.7109375" style="23" customWidth="1"/>
    <col min="10759" max="10760" width="10.7109375" style="23" customWidth="1"/>
    <col min="10761" max="10767" width="11.42578125" style="23"/>
    <col min="10768" max="10768" width="13.28515625" style="23" customWidth="1"/>
    <col min="10769" max="11010" width="11.42578125" style="23"/>
    <col min="11011" max="11011" width="36.7109375" style="23" customWidth="1"/>
    <col min="11012" max="11012" width="12.7109375" style="23" customWidth="1"/>
    <col min="11013" max="11013" width="10.7109375" style="23" customWidth="1"/>
    <col min="11014" max="11014" width="12.7109375" style="23" customWidth="1"/>
    <col min="11015" max="11016" width="10.7109375" style="23" customWidth="1"/>
    <col min="11017" max="11023" width="11.42578125" style="23"/>
    <col min="11024" max="11024" width="13.28515625" style="23" customWidth="1"/>
    <col min="11025" max="11266" width="11.42578125" style="23"/>
    <col min="11267" max="11267" width="36.7109375" style="23" customWidth="1"/>
    <col min="11268" max="11268" width="12.7109375" style="23" customWidth="1"/>
    <col min="11269" max="11269" width="10.7109375" style="23" customWidth="1"/>
    <col min="11270" max="11270" width="12.7109375" style="23" customWidth="1"/>
    <col min="11271" max="11272" width="10.7109375" style="23" customWidth="1"/>
    <col min="11273" max="11279" width="11.42578125" style="23"/>
    <col min="11280" max="11280" width="13.28515625" style="23" customWidth="1"/>
    <col min="11281" max="11522" width="11.42578125" style="23"/>
    <col min="11523" max="11523" width="36.7109375" style="23" customWidth="1"/>
    <col min="11524" max="11524" width="12.7109375" style="23" customWidth="1"/>
    <col min="11525" max="11525" width="10.7109375" style="23" customWidth="1"/>
    <col min="11526" max="11526" width="12.7109375" style="23" customWidth="1"/>
    <col min="11527" max="11528" width="10.7109375" style="23" customWidth="1"/>
    <col min="11529" max="11535" width="11.42578125" style="23"/>
    <col min="11536" max="11536" width="13.28515625" style="23" customWidth="1"/>
    <col min="11537" max="11778" width="11.42578125" style="23"/>
    <col min="11779" max="11779" width="36.7109375" style="23" customWidth="1"/>
    <col min="11780" max="11780" width="12.7109375" style="23" customWidth="1"/>
    <col min="11781" max="11781" width="10.7109375" style="23" customWidth="1"/>
    <col min="11782" max="11782" width="12.7109375" style="23" customWidth="1"/>
    <col min="11783" max="11784" width="10.7109375" style="23" customWidth="1"/>
    <col min="11785" max="11791" width="11.42578125" style="23"/>
    <col min="11792" max="11792" width="13.28515625" style="23" customWidth="1"/>
    <col min="11793" max="12034" width="11.42578125" style="23"/>
    <col min="12035" max="12035" width="36.7109375" style="23" customWidth="1"/>
    <col min="12036" max="12036" width="12.7109375" style="23" customWidth="1"/>
    <col min="12037" max="12037" width="10.7109375" style="23" customWidth="1"/>
    <col min="12038" max="12038" width="12.7109375" style="23" customWidth="1"/>
    <col min="12039" max="12040" width="10.7109375" style="23" customWidth="1"/>
    <col min="12041" max="12047" width="11.42578125" style="23"/>
    <col min="12048" max="12048" width="13.28515625" style="23" customWidth="1"/>
    <col min="12049" max="12290" width="11.42578125" style="23"/>
    <col min="12291" max="12291" width="36.7109375" style="23" customWidth="1"/>
    <col min="12292" max="12292" width="12.7109375" style="23" customWidth="1"/>
    <col min="12293" max="12293" width="10.7109375" style="23" customWidth="1"/>
    <col min="12294" max="12294" width="12.7109375" style="23" customWidth="1"/>
    <col min="12295" max="12296" width="10.7109375" style="23" customWidth="1"/>
    <col min="12297" max="12303" width="11.42578125" style="23"/>
    <col min="12304" max="12304" width="13.28515625" style="23" customWidth="1"/>
    <col min="12305" max="12546" width="11.42578125" style="23"/>
    <col min="12547" max="12547" width="36.7109375" style="23" customWidth="1"/>
    <col min="12548" max="12548" width="12.7109375" style="23" customWidth="1"/>
    <col min="12549" max="12549" width="10.7109375" style="23" customWidth="1"/>
    <col min="12550" max="12550" width="12.7109375" style="23" customWidth="1"/>
    <col min="12551" max="12552" width="10.7109375" style="23" customWidth="1"/>
    <col min="12553" max="12559" width="11.42578125" style="23"/>
    <col min="12560" max="12560" width="13.28515625" style="23" customWidth="1"/>
    <col min="12561" max="12802" width="11.42578125" style="23"/>
    <col min="12803" max="12803" width="36.7109375" style="23" customWidth="1"/>
    <col min="12804" max="12804" width="12.7109375" style="23" customWidth="1"/>
    <col min="12805" max="12805" width="10.7109375" style="23" customWidth="1"/>
    <col min="12806" max="12806" width="12.7109375" style="23" customWidth="1"/>
    <col min="12807" max="12808" width="10.7109375" style="23" customWidth="1"/>
    <col min="12809" max="12815" width="11.42578125" style="23"/>
    <col min="12816" max="12816" width="13.28515625" style="23" customWidth="1"/>
    <col min="12817" max="13058" width="11.42578125" style="23"/>
    <col min="13059" max="13059" width="36.7109375" style="23" customWidth="1"/>
    <col min="13060" max="13060" width="12.7109375" style="23" customWidth="1"/>
    <col min="13061" max="13061" width="10.7109375" style="23" customWidth="1"/>
    <col min="13062" max="13062" width="12.7109375" style="23" customWidth="1"/>
    <col min="13063" max="13064" width="10.7109375" style="23" customWidth="1"/>
    <col min="13065" max="13071" width="11.42578125" style="23"/>
    <col min="13072" max="13072" width="13.28515625" style="23" customWidth="1"/>
    <col min="13073" max="13314" width="11.42578125" style="23"/>
    <col min="13315" max="13315" width="36.7109375" style="23" customWidth="1"/>
    <col min="13316" max="13316" width="12.7109375" style="23" customWidth="1"/>
    <col min="13317" max="13317" width="10.7109375" style="23" customWidth="1"/>
    <col min="13318" max="13318" width="12.7109375" style="23" customWidth="1"/>
    <col min="13319" max="13320" width="10.7109375" style="23" customWidth="1"/>
    <col min="13321" max="13327" width="11.42578125" style="23"/>
    <col min="13328" max="13328" width="13.28515625" style="23" customWidth="1"/>
    <col min="13329" max="13570" width="11.42578125" style="23"/>
    <col min="13571" max="13571" width="36.7109375" style="23" customWidth="1"/>
    <col min="13572" max="13572" width="12.7109375" style="23" customWidth="1"/>
    <col min="13573" max="13573" width="10.7109375" style="23" customWidth="1"/>
    <col min="13574" max="13574" width="12.7109375" style="23" customWidth="1"/>
    <col min="13575" max="13576" width="10.7109375" style="23" customWidth="1"/>
    <col min="13577" max="13583" width="11.42578125" style="23"/>
    <col min="13584" max="13584" width="13.28515625" style="23" customWidth="1"/>
    <col min="13585" max="13826" width="11.42578125" style="23"/>
    <col min="13827" max="13827" width="36.7109375" style="23" customWidth="1"/>
    <col min="13828" max="13828" width="12.7109375" style="23" customWidth="1"/>
    <col min="13829" max="13829" width="10.7109375" style="23" customWidth="1"/>
    <col min="13830" max="13830" width="12.7109375" style="23" customWidth="1"/>
    <col min="13831" max="13832" width="10.7109375" style="23" customWidth="1"/>
    <col min="13833" max="13839" width="11.42578125" style="23"/>
    <col min="13840" max="13840" width="13.28515625" style="23" customWidth="1"/>
    <col min="13841" max="14082" width="11.42578125" style="23"/>
    <col min="14083" max="14083" width="36.7109375" style="23" customWidth="1"/>
    <col min="14084" max="14084" width="12.7109375" style="23" customWidth="1"/>
    <col min="14085" max="14085" width="10.7109375" style="23" customWidth="1"/>
    <col min="14086" max="14086" width="12.7109375" style="23" customWidth="1"/>
    <col min="14087" max="14088" width="10.7109375" style="23" customWidth="1"/>
    <col min="14089" max="14095" width="11.42578125" style="23"/>
    <col min="14096" max="14096" width="13.28515625" style="23" customWidth="1"/>
    <col min="14097" max="14338" width="11.42578125" style="23"/>
    <col min="14339" max="14339" width="36.7109375" style="23" customWidth="1"/>
    <col min="14340" max="14340" width="12.7109375" style="23" customWidth="1"/>
    <col min="14341" max="14341" width="10.7109375" style="23" customWidth="1"/>
    <col min="14342" max="14342" width="12.7109375" style="23" customWidth="1"/>
    <col min="14343" max="14344" width="10.7109375" style="23" customWidth="1"/>
    <col min="14345" max="14351" width="11.42578125" style="23"/>
    <col min="14352" max="14352" width="13.28515625" style="23" customWidth="1"/>
    <col min="14353" max="14594" width="11.42578125" style="23"/>
    <col min="14595" max="14595" width="36.7109375" style="23" customWidth="1"/>
    <col min="14596" max="14596" width="12.7109375" style="23" customWidth="1"/>
    <col min="14597" max="14597" width="10.7109375" style="23" customWidth="1"/>
    <col min="14598" max="14598" width="12.7109375" style="23" customWidth="1"/>
    <col min="14599" max="14600" width="10.7109375" style="23" customWidth="1"/>
    <col min="14601" max="14607" width="11.42578125" style="23"/>
    <col min="14608" max="14608" width="13.28515625" style="23" customWidth="1"/>
    <col min="14609" max="14850" width="11.42578125" style="23"/>
    <col min="14851" max="14851" width="36.7109375" style="23" customWidth="1"/>
    <col min="14852" max="14852" width="12.7109375" style="23" customWidth="1"/>
    <col min="14853" max="14853" width="10.7109375" style="23" customWidth="1"/>
    <col min="14854" max="14854" width="12.7109375" style="23" customWidth="1"/>
    <col min="14855" max="14856" width="10.7109375" style="23" customWidth="1"/>
    <col min="14857" max="14863" width="11.42578125" style="23"/>
    <col min="14864" max="14864" width="13.28515625" style="23" customWidth="1"/>
    <col min="14865" max="15106" width="11.42578125" style="23"/>
    <col min="15107" max="15107" width="36.7109375" style="23" customWidth="1"/>
    <col min="15108" max="15108" width="12.7109375" style="23" customWidth="1"/>
    <col min="15109" max="15109" width="10.7109375" style="23" customWidth="1"/>
    <col min="15110" max="15110" width="12.7109375" style="23" customWidth="1"/>
    <col min="15111" max="15112" width="10.7109375" style="23" customWidth="1"/>
    <col min="15113" max="15119" width="11.42578125" style="23"/>
    <col min="15120" max="15120" width="13.28515625" style="23" customWidth="1"/>
    <col min="15121" max="15362" width="11.42578125" style="23"/>
    <col min="15363" max="15363" width="36.7109375" style="23" customWidth="1"/>
    <col min="15364" max="15364" width="12.7109375" style="23" customWidth="1"/>
    <col min="15365" max="15365" width="10.7109375" style="23" customWidth="1"/>
    <col min="15366" max="15366" width="12.7109375" style="23" customWidth="1"/>
    <col min="15367" max="15368" width="10.7109375" style="23" customWidth="1"/>
    <col min="15369" max="15375" width="11.42578125" style="23"/>
    <col min="15376" max="15376" width="13.28515625" style="23" customWidth="1"/>
    <col min="15377" max="15618" width="11.42578125" style="23"/>
    <col min="15619" max="15619" width="36.7109375" style="23" customWidth="1"/>
    <col min="15620" max="15620" width="12.7109375" style="23" customWidth="1"/>
    <col min="15621" max="15621" width="10.7109375" style="23" customWidth="1"/>
    <col min="15622" max="15622" width="12.7109375" style="23" customWidth="1"/>
    <col min="15623" max="15624" width="10.7109375" style="23" customWidth="1"/>
    <col min="15625" max="15631" width="11.42578125" style="23"/>
    <col min="15632" max="15632" width="13.28515625" style="23" customWidth="1"/>
    <col min="15633" max="15874" width="11.42578125" style="23"/>
    <col min="15875" max="15875" width="36.7109375" style="23" customWidth="1"/>
    <col min="15876" max="15876" width="12.7109375" style="23" customWidth="1"/>
    <col min="15877" max="15877" width="10.7109375" style="23" customWidth="1"/>
    <col min="15878" max="15878" width="12.7109375" style="23" customWidth="1"/>
    <col min="15879" max="15880" width="10.7109375" style="23" customWidth="1"/>
    <col min="15881" max="15887" width="11.42578125" style="23"/>
    <col min="15888" max="15888" width="13.28515625" style="23" customWidth="1"/>
    <col min="15889" max="16130" width="11.42578125" style="23"/>
    <col min="16131" max="16131" width="36.7109375" style="23" customWidth="1"/>
    <col min="16132" max="16132" width="12.7109375" style="23" customWidth="1"/>
    <col min="16133" max="16133" width="10.7109375" style="23" customWidth="1"/>
    <col min="16134" max="16134" width="12.7109375" style="23" customWidth="1"/>
    <col min="16135" max="16136" width="10.7109375" style="23" customWidth="1"/>
    <col min="16137" max="16143" width="11.42578125" style="23"/>
    <col min="16144" max="16144" width="13.28515625" style="23" customWidth="1"/>
    <col min="16145" max="16384" width="11.42578125" style="23"/>
  </cols>
  <sheetData>
    <row r="9" spans="3:8" ht="26.25">
      <c r="C9" s="26"/>
    </row>
    <row r="10" spans="3:8" ht="22.5" customHeight="1">
      <c r="C10" s="27" t="s">
        <v>25</v>
      </c>
      <c r="D10" s="28"/>
      <c r="E10" s="28"/>
      <c r="F10" s="28"/>
      <c r="G10" s="28"/>
      <c r="H10" s="29"/>
    </row>
    <row r="11" spans="3:8" ht="36" customHeight="1">
      <c r="C11" s="30" t="s">
        <v>26</v>
      </c>
      <c r="D11" s="31" t="str">
        <f>actualizaciones!A3</f>
        <v>acumulado julio 2009</v>
      </c>
      <c r="E11" s="32" t="s">
        <v>27</v>
      </c>
      <c r="F11" s="31" t="str">
        <f>actualizaciones!A2</f>
        <v xml:space="preserve">acumulado julio 2010 </v>
      </c>
      <c r="G11" s="32" t="s">
        <v>27</v>
      </c>
      <c r="H11" s="32" t="s">
        <v>28</v>
      </c>
    </row>
    <row r="12" spans="3:8">
      <c r="C12" s="33" t="s">
        <v>29</v>
      </c>
      <c r="D12" s="34">
        <f>GETPIVOTDATA("dato",'[1]Evolución mensual tipología'!$B$27,"categoría","TOTAL","año",2009)</f>
        <v>945838</v>
      </c>
      <c r="E12" s="35">
        <f>D12/D12</f>
        <v>1</v>
      </c>
      <c r="F12" s="34">
        <f>GETPIVOTDATA("dato",'[1]Evolución mensual tipología'!$B$27,"categoría","TOTAL","año",2010)</f>
        <v>978683</v>
      </c>
      <c r="G12" s="35">
        <f>F12/F12</f>
        <v>1</v>
      </c>
      <c r="H12" s="36">
        <f>(F12-D12)/D12</f>
        <v>3.472581985498574E-2</v>
      </c>
    </row>
    <row r="13" spans="3:8">
      <c r="C13" s="37" t="s">
        <v>30</v>
      </c>
      <c r="D13" s="38">
        <f>GETPIVOTDATA("dato",'[1]Evolución mensual tipología'!$B$27,"categoría","Hoteleros","año",2009)</f>
        <v>605398</v>
      </c>
      <c r="E13" s="39">
        <f>D13/D12</f>
        <v>0.64006521201305089</v>
      </c>
      <c r="F13" s="38">
        <f>GETPIVOTDATA("dato",'[1]Evolución mensual tipología'!$B$27,"categoría","Hoteleros","año",2010)</f>
        <v>644123</v>
      </c>
      <c r="G13" s="39">
        <f>F13/F12</f>
        <v>0.6581528441793717</v>
      </c>
      <c r="H13" s="40">
        <f>(F13-D13)/D13</f>
        <v>6.3966184229217807E-2</v>
      </c>
    </row>
    <row r="14" spans="3:8">
      <c r="C14" s="37" t="s">
        <v>31</v>
      </c>
      <c r="D14" s="38">
        <f>GETPIVOTDATA("dato",'[1]Evolución mensual tipología'!$B$27,"categoría","Extrahoteleros","año",2009)</f>
        <v>340440</v>
      </c>
      <c r="E14" s="41">
        <f>D14/D12</f>
        <v>0.35993478798694911</v>
      </c>
      <c r="F14" s="38">
        <f>GETPIVOTDATA("dato",'[1]Evolución mensual tipología'!$B$27,"categoría","Extrahoteleros","año",2010)</f>
        <v>334560</v>
      </c>
      <c r="G14" s="41">
        <f>F14/F12</f>
        <v>0.34184715582062836</v>
      </c>
      <c r="H14" s="40">
        <f>(F14-D14)/D14</f>
        <v>-1.7271765949947126E-2</v>
      </c>
    </row>
    <row r="15" spans="3:8" ht="12.75" customHeight="1">
      <c r="C15" s="42" t="s">
        <v>32</v>
      </c>
      <c r="D15" s="43"/>
      <c r="E15" s="43"/>
      <c r="F15" s="43"/>
      <c r="G15" s="43"/>
      <c r="H15" s="44"/>
    </row>
    <row r="17" spans="2:12">
      <c r="C17" s="45"/>
      <c r="D17" s="45"/>
      <c r="E17" s="45"/>
      <c r="F17" s="45"/>
      <c r="G17" s="45"/>
    </row>
    <row r="28" spans="2:12"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</row>
  </sheetData>
  <mergeCells count="1">
    <mergeCell ref="C10:H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colBreaks count="1" manualBreakCount="1">
    <brk id="8" min="8" max="51" man="1"/>
  </colBreaks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C2:L71"/>
  <sheetViews>
    <sheetView showGridLines="0" showRowColHeaders="0" zoomScaleNormal="100" workbookViewId="0">
      <selection activeCell="B25" sqref="B25"/>
    </sheetView>
  </sheetViews>
  <sheetFormatPr baseColWidth="10" defaultRowHeight="15" outlineLevelRow="1"/>
  <cols>
    <col min="1" max="1" width="14.7109375" style="121" customWidth="1"/>
    <col min="2" max="2" width="11.42578125" style="121"/>
    <col min="3" max="4" width="11.7109375" style="121" bestFit="1" customWidth="1"/>
    <col min="5" max="5" width="13.85546875" style="121" customWidth="1"/>
    <col min="6" max="7" width="11.7109375" style="121" bestFit="1" customWidth="1"/>
    <col min="8" max="8" width="14.140625" style="121" customWidth="1"/>
    <col min="9" max="10" width="12.140625" style="121" bestFit="1" customWidth="1"/>
    <col min="11" max="11" width="14.28515625" style="121" customWidth="1"/>
    <col min="12" max="12" width="12" style="121" bestFit="1" customWidth="1"/>
    <col min="13" max="16384" width="11.42578125" style="121"/>
  </cols>
  <sheetData>
    <row r="2" spans="3:12" ht="44.25" customHeight="1"/>
    <row r="3" spans="3:12" ht="27" customHeight="1">
      <c r="C3" s="122" t="s">
        <v>228</v>
      </c>
      <c r="D3" s="122"/>
      <c r="E3" s="122"/>
      <c r="F3" s="122"/>
      <c r="G3" s="122"/>
      <c r="H3" s="122"/>
      <c r="I3" s="122"/>
      <c r="J3" s="122"/>
      <c r="K3" s="122"/>
      <c r="L3" s="122"/>
    </row>
    <row r="4" spans="3:12" ht="15" customHeight="1">
      <c r="C4" s="123"/>
      <c r="D4" s="124" t="s">
        <v>89</v>
      </c>
      <c r="E4" s="125"/>
      <c r="F4" s="125"/>
      <c r="G4" s="124" t="s">
        <v>92</v>
      </c>
      <c r="H4" s="125"/>
      <c r="I4" s="125"/>
      <c r="J4" s="124" t="s">
        <v>93</v>
      </c>
      <c r="K4" s="125"/>
      <c r="L4" s="125"/>
    </row>
    <row r="5" spans="3:12" ht="30">
      <c r="C5" s="127"/>
      <c r="D5" s="128" t="s">
        <v>94</v>
      </c>
      <c r="E5" s="128" t="s">
        <v>95</v>
      </c>
      <c r="F5" s="128" t="s">
        <v>69</v>
      </c>
      <c r="G5" s="128" t="s">
        <v>94</v>
      </c>
      <c r="H5" s="128" t="s">
        <v>95</v>
      </c>
      <c r="I5" s="128" t="s">
        <v>69</v>
      </c>
      <c r="J5" s="128" t="s">
        <v>96</v>
      </c>
      <c r="K5" s="128" t="s">
        <v>95</v>
      </c>
      <c r="L5" s="128" t="s">
        <v>36</v>
      </c>
    </row>
    <row r="6" spans="3:12" hidden="1">
      <c r="C6" s="51" t="s">
        <v>37</v>
      </c>
      <c r="D6" s="52" t="e">
        <f>GETPIVOTDATA("dato",'[1]tabla dinámica pernocta'!$P$5,"categoría","Hoteleros","mes",12,"año",2010)</f>
        <v>#REF!</v>
      </c>
      <c r="E6" s="52" t="e">
        <f>GETPIVOTDATA("dato",'[1]tabla dinámica pernocta'!$P$5,"categoría","EXTRAHOTELEROS","mes",12,"año",2010)</f>
        <v>#REF!</v>
      </c>
      <c r="F6" s="52" t="e">
        <f>GETPIVOTDATA("dato",'[1]tabla dinámica pernocta'!$P$5,"categoría","TOTAL","mes",12,"año",2010)</f>
        <v>#REF!</v>
      </c>
      <c r="G6" s="52" t="e">
        <f>GETPIVOTDATA("Suma de hotel z4",'[1]tabla dinámica pernocta'!$H$5,"PAIS/INDICADOR","PERNOCTACIONES","MES","12","AÑO",2010)</f>
        <v>#REF!</v>
      </c>
      <c r="H6" s="52" t="e">
        <f>GETPIVOTDATA("Suma de extra-h z4",'[1]tabla dinámica pernocta'!$H$5,"PAIS/INDICADOR","PERNOCTACIONES","MES","12","AÑO",2010)</f>
        <v>#REF!</v>
      </c>
      <c r="I6" s="52" t="e">
        <f>GETPIVOTDATA("Suma de total z4",'[1]tabla dinámica pernocta'!$H$5,"PAIS/INDICADOR","PERNOCTACIONES","MES","12","AÑO",2010)</f>
        <v>#REF!</v>
      </c>
      <c r="J6" s="52" t="e">
        <f>GETPIVOTDATA("Suma de TOTAL HOTELERO",'[1]tabla dinámica pernocta'!$H$5,"PAIS/INDICADOR","PERNOCTACIONES","MES","12","AÑO",2010)</f>
        <v>#REF!</v>
      </c>
      <c r="K6" s="52" t="e">
        <f>GETPIVOTDATA("Suma de Extrahoteleros",'[1]tabla dinámica pernocta'!$H$5,"PAIS/INDICADOR","PERNOCTACIONES","MES","12","AÑO",2010)</f>
        <v>#REF!</v>
      </c>
      <c r="L6" s="52" t="e">
        <f>GETPIVOTDATA("Suma de TOTAL GENERAL",'[1]tabla dinámica pernocta'!$H$5,"PAIS/INDICADOR","PERNOCTACIONES","MES","12","AÑO",2010)</f>
        <v>#REF!</v>
      </c>
    </row>
    <row r="7" spans="3:12" hidden="1">
      <c r="C7" s="51" t="s">
        <v>38</v>
      </c>
      <c r="D7" s="52" t="e">
        <f>GETPIVOTDATA("dato",'[1]tabla dinámica pernocta'!$P$5,"categoría","Hoteleros","mes",11,"año",2010)</f>
        <v>#REF!</v>
      </c>
      <c r="E7" s="52" t="e">
        <f>GETPIVOTDATA("dato",'[1]tabla dinámica pernocta'!$P$5,"categoría","EXTRAHOTELEROS","mes",11,"año",2010)</f>
        <v>#REF!</v>
      </c>
      <c r="F7" s="52" t="e">
        <f>GETPIVOTDATA("dato",'[1]tabla dinámica pernocta'!$P$5,"categoría","TOTAL","mes",11,"año",2010)</f>
        <v>#REF!</v>
      </c>
      <c r="G7" s="52" t="e">
        <f>GETPIVOTDATA("Suma de hotel z4",'[1]tabla dinámica pernocta'!$H$5,"PAIS/INDICADOR","PERNOCTACIONES","MES","11","AÑO",2010)</f>
        <v>#REF!</v>
      </c>
      <c r="H7" s="52" t="e">
        <f>GETPIVOTDATA("Suma de extra-h z4",'[1]tabla dinámica pernocta'!$H$5,"PAIS/INDICADOR","PERNOCTACIONES","MES","11","AÑO",2010)</f>
        <v>#REF!</v>
      </c>
      <c r="I7" s="52" t="e">
        <f>GETPIVOTDATA("Suma de total z4",'[1]tabla dinámica pernocta'!$H$5,"PAIS/INDICADOR","PERNOCTACIONES","MES","11","AÑO",2010)</f>
        <v>#REF!</v>
      </c>
      <c r="J7" s="52" t="e">
        <f>GETPIVOTDATA("Suma de TOTAL HOTELERO",'[1]tabla dinámica pernocta'!$H$5,"PAIS/INDICADOR","PERNOCTACIONES","MES","11","AÑO",2010)</f>
        <v>#REF!</v>
      </c>
      <c r="K7" s="52" t="e">
        <f>GETPIVOTDATA("Suma de Extrahoteleros",'[1]tabla dinámica pernocta'!$H$5,"PAIS/INDICADOR","PERNOCTACIONES","MES","11","AÑO",2010)</f>
        <v>#REF!</v>
      </c>
      <c r="L7" s="52" t="e">
        <f>GETPIVOTDATA("Suma de TOTAL GENERAL",'[1]tabla dinámica pernocta'!$H$5,"PAIS/INDICADOR","PERNOCTACIONES","MES","11","AÑO",2010)</f>
        <v>#REF!</v>
      </c>
    </row>
    <row r="8" spans="3:12" hidden="1">
      <c r="C8" s="51" t="s">
        <v>39</v>
      </c>
      <c r="D8" s="52" t="e">
        <f>GETPIVOTDATA("dato",'[1]tabla dinámica pernocta'!$P$5,"categoría","Hoteleros","mes",10,"año",2010)</f>
        <v>#REF!</v>
      </c>
      <c r="E8" s="52" t="e">
        <f>GETPIVOTDATA("dato",'[1]tabla dinámica pernocta'!$P$5,"categoría","EXTRAHOTELEROS","mes",10,"año",2010)</f>
        <v>#REF!</v>
      </c>
      <c r="F8" s="52" t="e">
        <f>GETPIVOTDATA("dato",'[1]tabla dinámica pernocta'!$P$5,"categoría","TOTAL","mes",10,"año",2010)</f>
        <v>#REF!</v>
      </c>
      <c r="G8" s="52" t="e">
        <f>GETPIVOTDATA("Suma de hotel z4",'[1]tabla dinámica pernocta'!$H$5,"PAIS/INDICADOR","PERNOCTACIONES","MES","10","AÑO",2010)</f>
        <v>#REF!</v>
      </c>
      <c r="H8" s="52" t="e">
        <f>GETPIVOTDATA("Suma de extra-h z4",'[1]tabla dinámica pernocta'!$H$5,"PAIS/INDICADOR","PERNOCTACIONES","MES","10","AÑO",2010)</f>
        <v>#REF!</v>
      </c>
      <c r="I8" s="52" t="e">
        <f>GETPIVOTDATA("Suma de total z4",'[1]tabla dinámica pernocta'!$H$5,"PAIS/INDICADOR","PERNOCTACIONES","MES","10","AÑO",2010)</f>
        <v>#REF!</v>
      </c>
      <c r="J8" s="52" t="e">
        <f>GETPIVOTDATA("Suma de TOTAL HOTELERO",'[1]tabla dinámica pernocta'!$H$5,"PAIS/INDICADOR","PERNOCTACIONES","MES","10","AÑO",2010)</f>
        <v>#REF!</v>
      </c>
      <c r="K8" s="52" t="e">
        <f>GETPIVOTDATA("Suma de Extrahoteleros",'[1]tabla dinámica pernocta'!$H$5,"PAIS/INDICADOR","PERNOCTACIONES","MES","10","AÑO",2010)</f>
        <v>#REF!</v>
      </c>
      <c r="L8" s="52" t="e">
        <f>GETPIVOTDATA("Suma de TOTAL GENERAL",'[1]tabla dinámica pernocta'!$H$5,"PAIS/INDICADOR","PERNOCTACIONES","MES","10","AÑO",2010)</f>
        <v>#REF!</v>
      </c>
    </row>
    <row r="9" spans="3:12" hidden="1">
      <c r="C9" s="51" t="s">
        <v>40</v>
      </c>
      <c r="D9" s="52" t="e">
        <f>GETPIVOTDATA("dato",'[1]tabla dinámica pernocta'!$P$5,"categoría","Hoteleros","mes",9,"año",2010)</f>
        <v>#REF!</v>
      </c>
      <c r="E9" s="52" t="e">
        <f>GETPIVOTDATA("dato",'[1]tabla dinámica pernocta'!$P$5,"categoría","EXTRAHOTELEROS","mes",9,"año",2010)</f>
        <v>#REF!</v>
      </c>
      <c r="F9" s="52" t="e">
        <f>GETPIVOTDATA("dato",'[1]tabla dinámica pernocta'!$P$5,"categoría","TOTAL","mes",9,"año",2010)</f>
        <v>#REF!</v>
      </c>
      <c r="G9" s="52" t="e">
        <f>GETPIVOTDATA("Suma de hotel z4",'[1]tabla dinámica pernocta'!$H$5,"PAIS/INDICADOR","PERNOCTACIONES","MES","9","AÑO",2010)</f>
        <v>#REF!</v>
      </c>
      <c r="H9" s="52" t="e">
        <f>GETPIVOTDATA("Suma de extra-h z4",'[1]tabla dinámica pernocta'!$H$5,"PAIS/INDICADOR","PERNOCTACIONES","MES","9","AÑO",2010)</f>
        <v>#REF!</v>
      </c>
      <c r="I9" s="52" t="e">
        <f>GETPIVOTDATA("Suma de total z4",'[1]tabla dinámica pernocta'!$H$5,"PAIS/INDICADOR","PERNOCTACIONES","MES","9","AÑO",2010)</f>
        <v>#REF!</v>
      </c>
      <c r="J9" s="52" t="e">
        <f>GETPIVOTDATA("Suma de TOTAL HOTELERO",'[1]tabla dinámica pernocta'!$H$5,"PAIS/INDICADOR","PERNOCTACIONES","MES","9","AÑO",2010)</f>
        <v>#REF!</v>
      </c>
      <c r="K9" s="52" t="e">
        <f>GETPIVOTDATA("Suma de Extrahoteleros",'[1]tabla dinámica pernocta'!$H$5,"PAIS/INDICADOR","PERNOCTACIONES","MES","9","AÑO",2010)</f>
        <v>#REF!</v>
      </c>
      <c r="L9" s="52" t="e">
        <f>GETPIVOTDATA("Suma de TOTAL GENERAL",'[1]tabla dinámica pernocta'!$H$5,"PAIS/INDICADOR","PERNOCTACIONES","MES","9","AÑO",2010)</f>
        <v>#REF!</v>
      </c>
    </row>
    <row r="10" spans="3:12" hidden="1">
      <c r="C10" s="51" t="s">
        <v>41</v>
      </c>
      <c r="D10" s="52" t="e">
        <f>GETPIVOTDATA("dato",'[1]tabla dinámica pernocta'!$P$5,"categoría","Hoteleros","mes",8,"año",2010)</f>
        <v>#REF!</v>
      </c>
      <c r="E10" s="52" t="e">
        <f>GETPIVOTDATA("dato",'[1]tabla dinámica pernocta'!$P$5,"categoría","EXTRAHOTELEROS","mes",8,"año",2010)</f>
        <v>#REF!</v>
      </c>
      <c r="F10" s="52" t="e">
        <f>GETPIVOTDATA("dato",'[1]tabla dinámica pernocta'!$P$5,"categoría","TOTAL","mes",8,"año",2010)</f>
        <v>#REF!</v>
      </c>
      <c r="G10" s="52" t="e">
        <f>GETPIVOTDATA("Suma de hotel z4",'[1]tabla dinámica pernocta'!$H$5,"PAIS/INDICADOR","PERNOCTACIONES","MES","8","AÑO",2010)</f>
        <v>#REF!</v>
      </c>
      <c r="H10" s="52" t="e">
        <f>GETPIVOTDATA("Suma de extra-h z4",'[1]tabla dinámica pernocta'!$H$5,"PAIS/INDICADOR","PERNOCTACIONES","MES","8","AÑO",2010)</f>
        <v>#REF!</v>
      </c>
      <c r="I10" s="52" t="e">
        <f>GETPIVOTDATA("Suma de total z4",'[1]tabla dinámica pernocta'!$H$5,"PAIS/INDICADOR","PERNOCTACIONES","MES","8","AÑO",2010)</f>
        <v>#REF!</v>
      </c>
      <c r="J10" s="52" t="e">
        <f>GETPIVOTDATA("Suma de TOTAL HOTELERO",'[1]tabla dinámica pernocta'!$H$5,"PAIS/INDICADOR","PERNOCTACIONES","MES","8","AÑO",2010)</f>
        <v>#REF!</v>
      </c>
      <c r="K10" s="52" t="e">
        <f>GETPIVOTDATA("Suma de Extrahoteleros",'[1]tabla dinámica pernocta'!$H$5,"PAIS/INDICADOR","PERNOCTACIONES","MES","8","AÑO",2010)</f>
        <v>#REF!</v>
      </c>
      <c r="L10" s="52" t="e">
        <f>GETPIVOTDATA("Suma de TOTAL GENERAL",'[1]tabla dinámica pernocta'!$H$5,"PAIS/INDICADOR","PERNOCTACIONES","MES","8","AÑO",2010)</f>
        <v>#REF!</v>
      </c>
    </row>
    <row r="11" spans="3:12">
      <c r="C11" s="51" t="s">
        <v>42</v>
      </c>
      <c r="D11" s="52">
        <f>GETPIVOTDATA("dato",'[1]tabla dinámica pernocta'!$P$5,"categoría","Hoteleros","mes",7,"año",2010)</f>
        <v>831833</v>
      </c>
      <c r="E11" s="52">
        <f>GETPIVOTDATA("dato",'[1]tabla dinámica pernocta'!$P$5,"categoría","EXTRAHOTELEROS","mes",7,"año",2010)</f>
        <v>474514</v>
      </c>
      <c r="F11" s="52">
        <f>GETPIVOTDATA("dato",'[1]tabla dinámica pernocta'!$P$5,"categoría","TOTAL","mes",7,"año",2010)</f>
        <v>1306347</v>
      </c>
      <c r="G11" s="52">
        <f>GETPIVOTDATA("Suma de hotel z4",'[1]tabla dinámica pernocta'!$H$5,"PAIS/INDICADOR","PERNOCTACIONES","MES","7","AÑO",2010)</f>
        <v>1546317</v>
      </c>
      <c r="H11" s="52">
        <f>GETPIVOTDATA("Suma de extra-h z4",'[1]tabla dinámica pernocta'!$H$5,"PAIS/INDICADOR","PERNOCTACIONES","MES","7","AÑO",2010)</f>
        <v>1269065</v>
      </c>
      <c r="I11" s="52">
        <f>GETPIVOTDATA("Suma de total z4",'[1]tabla dinámica pernocta'!$H$5,"PAIS/INDICADOR","PERNOCTACIONES","MES","7","AÑO",2010)</f>
        <v>2815382</v>
      </c>
      <c r="J11" s="52">
        <f>GETPIVOTDATA("Suma de TOTAL HOTELERO",'[1]tabla dinámica pernocta'!$H$5,"PAIS/INDICADOR","PERNOCTACIONES","MES","7","AÑO",2010)</f>
        <v>1852448</v>
      </c>
      <c r="K11" s="52">
        <f>GETPIVOTDATA("Suma de Extrahoteleros",'[1]tabla dinámica pernocta'!$H$5,"PAIS/INDICADOR","PERNOCTACIONES","MES","7","AÑO",2010)</f>
        <v>1401004</v>
      </c>
      <c r="L11" s="52">
        <f>GETPIVOTDATA("Suma de TOTAL GENERAL",'[1]tabla dinámica pernocta'!$H$5,"PAIS/INDICADOR","PERNOCTACIONES","MES","7","AÑO",2010)</f>
        <v>3253452</v>
      </c>
    </row>
    <row r="12" spans="3:12">
      <c r="C12" s="51" t="s">
        <v>43</v>
      </c>
      <c r="D12" s="52">
        <f>GETPIVOTDATA("dato",'[1]tabla dinámica pernocta'!$P$5,"categoría","Hoteleros","mes",6,"año",2010)</f>
        <v>646295</v>
      </c>
      <c r="E12" s="52">
        <f>GETPIVOTDATA("dato",'[1]tabla dinámica pernocta'!$P$5,"categoría","EXTRAHOTELEROS","mes",6,"año",2010)</f>
        <v>350346</v>
      </c>
      <c r="F12" s="52">
        <f>GETPIVOTDATA("dato",'[1]tabla dinámica pernocta'!$P$5,"categoría","TOTAL","mes",6,"año",2010)</f>
        <v>996641</v>
      </c>
      <c r="G12" s="52">
        <f>GETPIVOTDATA("Suma de hotel z4",'[1]tabla dinámica pernocta'!$H$5,"PAIS/INDICADOR","PERNOCTACIONES","MES","6","AÑO",2010)</f>
        <v>1225167</v>
      </c>
      <c r="H12" s="52">
        <f>GETPIVOTDATA("Suma de extra-h z4",'[1]tabla dinámica pernocta'!$H$5,"PAIS/INDICADOR","PERNOCTACIONES","MES","6","AÑO",2010)</f>
        <v>952455</v>
      </c>
      <c r="I12" s="52">
        <f>GETPIVOTDATA("Suma de total z4",'[1]tabla dinámica pernocta'!$H$5,"PAIS/INDICADOR","PERNOCTACIONES","MES","6","AÑO",2010)</f>
        <v>2177622</v>
      </c>
      <c r="J12" s="52">
        <f>GETPIVOTDATA("Suma de TOTAL HOTELERO",'[1]tabla dinámica pernocta'!$H$5,"PAIS/INDICADOR","PERNOCTACIONES","MES","6","AÑO",2010)</f>
        <v>1564162</v>
      </c>
      <c r="K12" s="52">
        <f>GETPIVOTDATA("Suma de Extrahoteleros",'[1]tabla dinámica pernocta'!$H$5,"PAIS/INDICADOR","PERNOCTACIONES","MES","6","AÑO",2010)</f>
        <v>1097110</v>
      </c>
      <c r="L12" s="52">
        <f>GETPIVOTDATA("Suma de TOTAL GENERAL",'[1]tabla dinámica pernocta'!$H$5,"PAIS/INDICADOR","PERNOCTACIONES","MES","6","AÑO",2010)</f>
        <v>2661272</v>
      </c>
    </row>
    <row r="13" spans="3:12">
      <c r="C13" s="51" t="s">
        <v>44</v>
      </c>
      <c r="D13" s="52">
        <f>GETPIVOTDATA("dato",'[1]tabla dinámica pernocta'!$P$5,"categoría","Hoteleros","mes",5,"año",2010)</f>
        <v>632271</v>
      </c>
      <c r="E13" s="52">
        <f>GETPIVOTDATA("dato",'[1]tabla dinámica pernocta'!$P$5,"categoría","EXTRAHOTELEROS","mes",5,"año",2010)</f>
        <v>320279</v>
      </c>
      <c r="F13" s="52">
        <f>GETPIVOTDATA("dato",'[1]tabla dinámica pernocta'!$P$5,"categoría","TOTAL","mes",5,"año",2010)</f>
        <v>952550</v>
      </c>
      <c r="G13" s="52">
        <f>GETPIVOTDATA("Suma de hotel z4",'[1]tabla dinámica pernocta'!$H$5,"PAIS/INDICADOR","PERNOCTACIONES","MES","5","AÑO",2010)</f>
        <v>1174536</v>
      </c>
      <c r="H13" s="52">
        <f>GETPIVOTDATA("Suma de extra-h z4",'[1]tabla dinámica pernocta'!$H$5,"PAIS/INDICADOR","PERNOCTACIONES","MES","5","AÑO",2010)</f>
        <v>842106</v>
      </c>
      <c r="I13" s="52">
        <f>GETPIVOTDATA("Suma de total z4",'[1]tabla dinámica pernocta'!$H$5,"PAIS/INDICADOR","PERNOCTACIONES","MES","5","AÑO",2010)</f>
        <v>2016642</v>
      </c>
      <c r="J13" s="52">
        <f>GETPIVOTDATA("Suma de TOTAL HOTELERO",'[1]tabla dinámica pernocta'!$H$5,"PAIS/INDICADOR","PERNOCTACIONES","MES","5","AÑO",2010)</f>
        <v>1491751</v>
      </c>
      <c r="K13" s="52">
        <f>GETPIVOTDATA("Suma de Extrahoteleros",'[1]tabla dinámica pernocta'!$H$5,"PAIS/INDICADOR","PERNOCTACIONES","MES","5","AÑO",2010)</f>
        <v>966851</v>
      </c>
      <c r="L13" s="52">
        <f>GETPIVOTDATA("Suma de TOTAL GENERAL",'[1]tabla dinámica pernocta'!$H$5,"PAIS/INDICADOR","PERNOCTACIONES","MES","5","AÑO",2010)</f>
        <v>2458602</v>
      </c>
    </row>
    <row r="14" spans="3:12">
      <c r="C14" s="51" t="s">
        <v>45</v>
      </c>
      <c r="D14" s="52">
        <f>GETPIVOTDATA("dato",'[1]tabla dinámica pernocta'!$P$5,"categoría","Hoteleros","mes",4,"año",2010)</f>
        <v>682668</v>
      </c>
      <c r="E14" s="52">
        <f>GETPIVOTDATA("dato",'[1]tabla dinámica pernocta'!$P$5,"categoría","EXTRAHOTELEROS","mes",4,"año",2010)</f>
        <v>378612</v>
      </c>
      <c r="F14" s="52">
        <f>GETPIVOTDATA("dato",'[1]tabla dinámica pernocta'!$P$5,"categoría","TOTAL","mes",4,"año",2010)</f>
        <v>1061280</v>
      </c>
      <c r="G14" s="52">
        <f>GETPIVOTDATA("Suma de hotel z4",'[1]tabla dinámica pernocta'!$H$5,"PAIS/INDICADOR","PERNOCTACIONES","MES","4","AÑO",2010)</f>
        <v>1260631</v>
      </c>
      <c r="H14" s="52">
        <f>GETPIVOTDATA("Suma de extra-h z4",'[1]tabla dinámica pernocta'!$H$5,"PAIS/INDICADOR","PERNOCTACIONES","MES","4","AÑO",2010)</f>
        <v>984562</v>
      </c>
      <c r="I14" s="52">
        <f>GETPIVOTDATA("Suma de total z4",'[1]tabla dinámica pernocta'!$H$5,"PAIS/INDICADOR","PERNOCTACIONES","MES","4","AÑO",2010)</f>
        <v>2245193</v>
      </c>
      <c r="J14" s="52">
        <f>GETPIVOTDATA("Suma de TOTAL HOTELERO",'[1]tabla dinámica pernocta'!$H$5,"PAIS/INDICADOR","PERNOCTACIONES","MES","4","AÑO",2010)</f>
        <v>1576794</v>
      </c>
      <c r="K14" s="52">
        <f>GETPIVOTDATA("Suma de Extrahoteleros",'[1]tabla dinámica pernocta'!$H$5,"PAIS/INDICADOR","PERNOCTACIONES","MES","4","AÑO",2010)</f>
        <v>1127852</v>
      </c>
      <c r="L14" s="52">
        <f>GETPIVOTDATA("Suma de TOTAL GENERAL",'[1]tabla dinámica pernocta'!$H$5,"PAIS/INDICADOR","PERNOCTACIONES","MES","4","AÑO",2010)</f>
        <v>2704646</v>
      </c>
    </row>
    <row r="15" spans="3:12">
      <c r="C15" s="51" t="s">
        <v>46</v>
      </c>
      <c r="D15" s="52">
        <f>GETPIVOTDATA("dato",'[1]tabla dinámica pernocta'!$P$5,"categoría","Hoteleros","mes",3,"año",2010)</f>
        <v>696472</v>
      </c>
      <c r="E15" s="52">
        <f>GETPIVOTDATA("dato",'[1]tabla dinámica pernocta'!$P$5,"categoría","EXTRAHOTELEROS","mes",3,"año",2010)</f>
        <v>441761</v>
      </c>
      <c r="F15" s="52">
        <f>GETPIVOTDATA("dato",'[1]tabla dinámica pernocta'!$P$5,"categoría","TOTAL","mes",3,"año",2010)</f>
        <v>1138233</v>
      </c>
      <c r="G15" s="52">
        <f>GETPIVOTDATA("Suma de hotel z4",'[1]tabla dinámica pernocta'!$H$5,"PAIS/INDICADOR","PERNOCTACIONES","MES","3","AÑO",2010)</f>
        <v>1354361</v>
      </c>
      <c r="H15" s="52">
        <f>GETPIVOTDATA("Suma de extra-h z4",'[1]tabla dinámica pernocta'!$H$5,"PAIS/INDICADOR","PERNOCTACIONES","MES","3","AÑO",2010)</f>
        <v>1238139</v>
      </c>
      <c r="I15" s="52">
        <f>GETPIVOTDATA("Suma de total z4",'[1]tabla dinámica pernocta'!$H$5,"PAIS/INDICADOR","PERNOCTACIONES","MES","3","AÑO",2010)</f>
        <v>2592500</v>
      </c>
      <c r="J15" s="52">
        <f>GETPIVOTDATA("Suma de TOTAL HOTELERO",'[1]tabla dinámica pernocta'!$H$5,"PAIS/INDICADOR","PERNOCTACIONES","MES","3","AÑO",2010)</f>
        <v>1745136</v>
      </c>
      <c r="K15" s="52">
        <f>GETPIVOTDATA("Suma de Extrahoteleros",'[1]tabla dinámica pernocta'!$H$5,"PAIS/INDICADOR","PERNOCTACIONES","MES","3","AÑO",2010)</f>
        <v>1433073</v>
      </c>
      <c r="L15" s="52">
        <f>GETPIVOTDATA("Suma de TOTAL GENERAL",'[1]tabla dinámica pernocta'!$H$5,"PAIS/INDICADOR","PERNOCTACIONES","MES","3","AÑO",2010)</f>
        <v>3178209</v>
      </c>
    </row>
    <row r="16" spans="3:12">
      <c r="C16" s="51" t="s">
        <v>47</v>
      </c>
      <c r="D16" s="52">
        <f>GETPIVOTDATA("dato",'[1]tabla dinámica pernocta'!$P$5,"categoría","Hoteleros","mes",2,"año",2010)</f>
        <v>656189</v>
      </c>
      <c r="E16" s="52">
        <f>GETPIVOTDATA("dato",'[1]tabla dinámica pernocta'!$P$5,"categoría","EXTRAHOTELEROS","mes",2,"año",2010)</f>
        <v>425008</v>
      </c>
      <c r="F16" s="52">
        <f>GETPIVOTDATA("dato",'[1]tabla dinámica pernocta'!$P$5,"categoría","TOTAL","mes",2,"año",2010)</f>
        <v>1081197</v>
      </c>
      <c r="G16" s="52">
        <f>GETPIVOTDATA("Suma de hotel z4",'[1]tabla dinámica pernocta'!$H$5,"PAIS/INDICADOR","PERNOCTACIONES","MES","2","AÑO",2010)</f>
        <v>1257924</v>
      </c>
      <c r="H16" s="52">
        <f>GETPIVOTDATA("Suma de extra-h z4",'[1]tabla dinámica pernocta'!$H$5,"PAIS/INDICADOR","PERNOCTACIONES","MES","2","AÑO",2010)</f>
        <v>1165508</v>
      </c>
      <c r="I16" s="52">
        <f>GETPIVOTDATA("Suma de total z4",'[1]tabla dinámica pernocta'!$H$5,"PAIS/INDICADOR","PERNOCTACIONES","MES","2","AÑO",2010)</f>
        <v>2423432</v>
      </c>
      <c r="J16" s="52">
        <f>GETPIVOTDATA("Suma de TOTAL HOTELERO",'[1]tabla dinámica pernocta'!$H$5,"PAIS/INDICADOR","PERNOCTACIONES","MES","2","AÑO",2010)</f>
        <v>1678464</v>
      </c>
      <c r="K16" s="52">
        <f>GETPIVOTDATA("Suma de Extrahoteleros",'[1]tabla dinámica pernocta'!$H$5,"PAIS/INDICADOR","PERNOCTACIONES","MES","2","AÑO",2010)</f>
        <v>1371184</v>
      </c>
      <c r="L16" s="52">
        <f>GETPIVOTDATA("Suma de TOTAL GENERAL",'[1]tabla dinámica pernocta'!$H$5,"PAIS/INDICADOR","PERNOCTACIONES","MES","2","AÑO",2010)</f>
        <v>3049648</v>
      </c>
    </row>
    <row r="17" spans="3:12">
      <c r="C17" s="51" t="s">
        <v>48</v>
      </c>
      <c r="D17" s="52">
        <f>GETPIVOTDATA("dato",'[1]tabla dinámica pernocta'!$P$5,"categoría","Hoteleros","mes",1,"año",2010)</f>
        <v>717130</v>
      </c>
      <c r="E17" s="52">
        <f>GETPIVOTDATA("dato",'[1]tabla dinámica pernocta'!$P$5,"categoría","EXTRAHOTELEROS","mes",1,"año",2010)</f>
        <v>445225</v>
      </c>
      <c r="F17" s="52">
        <f>GETPIVOTDATA("dato",'[1]tabla dinámica pernocta'!$P$5,"categoría","TOTAL","mes",1,"año",2010)</f>
        <v>1162355</v>
      </c>
      <c r="G17" s="52">
        <f>GETPIVOTDATA("Suma de hotel z4",'[1]tabla dinámica pernocta'!$H$5,"PAIS/INDICADOR","PERNOCTACIONES","MES","1","AÑO",2010)</f>
        <v>1353115</v>
      </c>
      <c r="H17" s="52">
        <f>GETPIVOTDATA("Suma de extra-h z4",'[1]tabla dinámica pernocta'!$H$5,"PAIS/INDICADOR","PERNOCTACIONES","MES","1","AÑO",2010)</f>
        <v>1226561</v>
      </c>
      <c r="I17" s="52">
        <f>GETPIVOTDATA("Suma de total z4",'[1]tabla dinámica pernocta'!$H$5,"PAIS/INDICADOR","PERNOCTACIONES","MES","1","AÑO",2010)</f>
        <v>2579676</v>
      </c>
      <c r="J17" s="52">
        <f>GETPIVOTDATA("Suma de TOTAL HOTELERO",'[1]tabla dinámica pernocta'!$H$5,"PAIS/INDICADOR","PERNOCTACIONES","MES","1","AÑO",2010)</f>
        <v>1788406</v>
      </c>
      <c r="K17" s="52">
        <f>GETPIVOTDATA("Suma de Extrahoteleros",'[1]tabla dinámica pernocta'!$H$5,"PAIS/INDICADOR","PERNOCTACIONES","MES","1","AÑO",2010)</f>
        <v>1439231</v>
      </c>
      <c r="L17" s="52">
        <f>GETPIVOTDATA("Suma de TOTAL GENERAL",'[1]tabla dinámica pernocta'!$H$5,"PAIS/INDICADOR","PERNOCTACIONES","MES","1","AÑO",2010)</f>
        <v>3227637</v>
      </c>
    </row>
    <row r="18" spans="3:12" ht="30">
      <c r="C18" s="54" t="str">
        <f>actualizaciones!A2</f>
        <v xml:space="preserve">acumulado julio 2010 </v>
      </c>
      <c r="D18" s="55">
        <f>GETPIVOTDATA("dato",'[1]tabla dinámica pernocta'!$P$5,"categoría","Hoteleros","año",2010)</f>
        <v>4862858</v>
      </c>
      <c r="E18" s="55">
        <f>GETPIVOTDATA("dato",'[1]tabla dinámica pernocta'!$P$5,"categoría","EXTRAHOTELEROS","año",2010)</f>
        <v>2835745</v>
      </c>
      <c r="F18" s="55">
        <f>GETPIVOTDATA("dato",'[1]tabla dinámica pernocta'!$P$5,"categoría","TOTAL","año",2010)</f>
        <v>7698603</v>
      </c>
      <c r="G18" s="55">
        <f>GETPIVOTDATA("Suma de hotel z4",'[1]tabla dinámica pernocta'!$H$5,"PAIS/INDICADOR","PERNOCTACIONES","AÑO",2010)</f>
        <v>9172051</v>
      </c>
      <c r="H18" s="55">
        <f>GETPIVOTDATA("Suma de extra-h z4",'[1]tabla dinámica pernocta'!$H$5,"PAIS/INDICADOR","PERNOCTACIONES","AÑO",2010)</f>
        <v>7678396</v>
      </c>
      <c r="I18" s="55">
        <f>GETPIVOTDATA("Suma de total z4",'[1]tabla dinámica pernocta'!$H$5,"PAIS/INDICADOR","PERNOCTACIONES","AÑO",2010)</f>
        <v>16850447</v>
      </c>
      <c r="J18" s="55">
        <f>GETPIVOTDATA("Suma de TOTAL HOTELERO",'[1]tabla dinámica pernocta'!$H$5,"PAIS/INDICADOR","PERNOCTACIONES","AÑO",2010)</f>
        <v>11697161</v>
      </c>
      <c r="K18" s="55">
        <f>GETPIVOTDATA("Suma de Extrahoteleros",'[1]tabla dinámica pernocta'!$H$5,"PAIS/INDICADOR","PERNOCTACIONES","AÑO",2010)</f>
        <v>8836305</v>
      </c>
      <c r="L18" s="55">
        <f>GETPIVOTDATA("Suma de TOTAL GENERAL",'[1]tabla dinámica pernocta'!$H$5,"PAIS/INDICADOR","PERNOCTACIONES","AÑO",2010)</f>
        <v>20533466</v>
      </c>
    </row>
    <row r="19" spans="3:12" hidden="1" outlineLevel="1">
      <c r="C19" s="51" t="s">
        <v>37</v>
      </c>
      <c r="D19" s="52">
        <f>GETPIVOTDATA("dato",'[1]tabla dinámica pernocta'!$P$5,"categoría","Hoteleros","mes",12,"año",2009)</f>
        <v>680326</v>
      </c>
      <c r="E19" s="52">
        <f>GETPIVOTDATA("dato",'[1]tabla dinámica pernocta'!$P$5,"categoría","EXTRAHOTELEROS","mes",12,"año",2009)</f>
        <v>433855</v>
      </c>
      <c r="F19" s="52">
        <f>GETPIVOTDATA("dato",'[1]tabla dinámica pernocta'!$P$5,"categoría","TOTAL","mes",12,"año",2009)</f>
        <v>1114181</v>
      </c>
      <c r="G19" s="52">
        <f>GETPIVOTDATA("Suma de hotel z4",'[1]tabla dinámica pernocta'!$H$5,"PAIS/INDICADOR","PERNOCTACIONES","MES","12","AÑO",2009)</f>
        <v>1250566</v>
      </c>
      <c r="H19" s="52">
        <f>GETPIVOTDATA("Suma de extra-h z4",'[1]tabla dinámica pernocta'!$H$5,"PAIS/INDICADOR","PERNOCTACIONES","MES","12","AÑO",2009)</f>
        <v>1160848</v>
      </c>
      <c r="I19" s="52">
        <f>GETPIVOTDATA("Suma de total z4",'[1]tabla dinámica pernocta'!$H$5,"PAIS/INDICADOR","PERNOCTACIONES","MES","12","AÑO",2009)</f>
        <v>2411414</v>
      </c>
      <c r="J19" s="52">
        <f>GETPIVOTDATA("Suma de TOTAL HOTELERO",'[1]tabla dinámica pernocta'!$H$5,"PAIS/INDICADOR","PERNOCTACIONES","MES","12","AÑO",2009)</f>
        <v>1650116</v>
      </c>
      <c r="K19" s="52">
        <f>GETPIVOTDATA("Suma de Extrahoteleros",'[1]tabla dinámica pernocta'!$H$5,"PAIS/INDICADOR","PERNOCTACIONES","MES","12","AÑO",2009)</f>
        <v>1369960</v>
      </c>
      <c r="L19" s="52">
        <f>GETPIVOTDATA("Suma de TOTAL GENERAL",'[1]tabla dinámica pernocta'!$H$5,"PAIS/INDICADOR","PERNOCTACIONES","MES","12","AÑO",2009)</f>
        <v>3020076</v>
      </c>
    </row>
    <row r="20" spans="3:12" hidden="1" outlineLevel="1">
      <c r="C20" s="51" t="s">
        <v>38</v>
      </c>
      <c r="D20" s="52">
        <f>GETPIVOTDATA("dato",'[1]tabla dinámica pernocta'!$P$5,"categoría","Hoteleros","mes",11,"año",2009)</f>
        <v>709880</v>
      </c>
      <c r="E20" s="52">
        <f>GETPIVOTDATA("dato",'[1]tabla dinámica pernocta'!$P$5,"categoría","EXTRAHOTELEROS","mes",11,"año",2009)</f>
        <v>430838</v>
      </c>
      <c r="F20" s="52">
        <f>GETPIVOTDATA("dato",'[1]tabla dinámica pernocta'!$P$5,"categoría","TOTAL","mes",11,"año",2009)</f>
        <v>1140718</v>
      </c>
      <c r="G20" s="52">
        <f>GETPIVOTDATA("Suma de hotel z4",'[1]tabla dinámica pernocta'!$H$5,"PAIS/INDICADOR","PERNOCTACIONES","MES","11","AÑO",2009)</f>
        <v>1285629</v>
      </c>
      <c r="H20" s="52">
        <f>GETPIVOTDATA("Suma de extra-h z4",'[1]tabla dinámica pernocta'!$H$5,"PAIS/INDICADOR","PERNOCTACIONES","MES","11","AÑO",2009)</f>
        <v>1133883</v>
      </c>
      <c r="I20" s="52">
        <f>GETPIVOTDATA("Suma de total z4",'[1]tabla dinámica pernocta'!$H$5,"PAIS/INDICADOR","PERNOCTACIONES","MES","11","AÑO",2009)</f>
        <v>2419512</v>
      </c>
      <c r="J20" s="52">
        <f>GETPIVOTDATA("Suma de TOTAL HOTELERO",'[1]tabla dinámica pernocta'!$H$5,"PAIS/INDICADOR","PERNOCTACIONES","MES","11","AÑO",2009)</f>
        <v>1669106</v>
      </c>
      <c r="K20" s="52">
        <f>GETPIVOTDATA("Suma de Extrahoteleros",'[1]tabla dinámica pernocta'!$H$5,"PAIS/INDICADOR","PERNOCTACIONES","MES","11","AÑO",2009)</f>
        <v>1328566</v>
      </c>
      <c r="L20" s="52">
        <f>GETPIVOTDATA("Suma de TOTAL GENERAL",'[1]tabla dinámica pernocta'!$H$5,"PAIS/INDICADOR","PERNOCTACIONES","MES","11","AÑO",2009)</f>
        <v>2997672</v>
      </c>
    </row>
    <row r="21" spans="3:12" hidden="1" outlineLevel="1">
      <c r="C21" s="51" t="s">
        <v>39</v>
      </c>
      <c r="D21" s="52">
        <f>GETPIVOTDATA("dato",'[1]tabla dinámica pernocta'!$P$5,"categoría","Hoteleros","mes",10,"año",2009)</f>
        <v>698651</v>
      </c>
      <c r="E21" s="52">
        <f>GETPIVOTDATA("dato",'[1]tabla dinámica pernocta'!$P$5,"categoría","EXTRAHOTELEROS","mes",10,"año",2009)</f>
        <v>399756</v>
      </c>
      <c r="F21" s="52">
        <f>GETPIVOTDATA("dato",'[1]tabla dinámica pernocta'!$P$5,"categoría","TOTAL","mes",10,"año",2009)</f>
        <v>1098407</v>
      </c>
      <c r="G21" s="52">
        <f>GETPIVOTDATA("Suma de hotel z4",'[1]tabla dinámica pernocta'!$H$5,"PAIS/INDICADOR","PERNOCTACIONES","MES","10","AÑO",2009)</f>
        <v>1320356</v>
      </c>
      <c r="H21" s="52">
        <f>GETPIVOTDATA("Suma de extra-h z4",'[1]tabla dinámica pernocta'!$H$5,"PAIS/INDICADOR","PERNOCTACIONES","MES","10","AÑO",2009)</f>
        <v>1097697</v>
      </c>
      <c r="I21" s="52">
        <f>GETPIVOTDATA("Suma de total z4",'[1]tabla dinámica pernocta'!$H$5,"PAIS/INDICADOR","PERNOCTACIONES","MES","10","AÑO",2009)</f>
        <v>2418053</v>
      </c>
      <c r="J21" s="52">
        <f>GETPIVOTDATA("Suma de TOTAL HOTELERO",'[1]tabla dinámica pernocta'!$H$5,"PAIS/INDICADOR","PERNOCTACIONES","MES","10","AÑO",2009)</f>
        <v>1624863</v>
      </c>
      <c r="K21" s="52">
        <f>GETPIVOTDATA("Suma de Extrahoteleros",'[1]tabla dinámica pernocta'!$H$5,"PAIS/INDICADOR","PERNOCTACIONES","MES","10","AÑO",2009)</f>
        <v>1252596</v>
      </c>
      <c r="L21" s="52">
        <f>GETPIVOTDATA("Suma de TOTAL GENERAL",'[1]tabla dinámica pernocta'!$H$5,"PAIS/INDICADOR","PERNOCTACIONES","MES","10","AÑO",2009)</f>
        <v>2877459</v>
      </c>
    </row>
    <row r="22" spans="3:12" hidden="1" outlineLevel="1">
      <c r="C22" s="51" t="s">
        <v>40</v>
      </c>
      <c r="D22" s="52">
        <f>GETPIVOTDATA("dato",'[1]tabla dinámica pernocta'!$P$5,"categoría","Hoteleros","mes",9,"año",2009)</f>
        <v>662137</v>
      </c>
      <c r="E22" s="52">
        <f>GETPIVOTDATA("dato",'[1]tabla dinámica pernocta'!$P$5,"categoría","EXTRAHOTELEROS","mes",9,"año",2009)</f>
        <v>395535</v>
      </c>
      <c r="F22" s="52">
        <f>GETPIVOTDATA("dato",'[1]tabla dinámica pernocta'!$P$5,"categoría","TOTAL","mes",9,"año",2009)</f>
        <v>1057672</v>
      </c>
      <c r="G22" s="52">
        <f>GETPIVOTDATA("Suma de hotel z4",'[1]tabla dinámica pernocta'!$H$5,"PAIS/INDICADOR","PERNOCTACIONES","MES","9","AÑO",2009)</f>
        <v>1243056</v>
      </c>
      <c r="H22" s="52">
        <f>GETPIVOTDATA("Suma de extra-h z4",'[1]tabla dinámica pernocta'!$H$5,"PAIS/INDICADOR","PERNOCTACIONES","MES","9","AÑO",2009)</f>
        <v>1009589</v>
      </c>
      <c r="I22" s="52">
        <f>GETPIVOTDATA("Suma de total z4",'[1]tabla dinámica pernocta'!$H$5,"PAIS/INDICADOR","PERNOCTACIONES","MES","9","AÑO",2009)</f>
        <v>2252645</v>
      </c>
      <c r="J22" s="52">
        <f>GETPIVOTDATA("Suma de TOTAL HOTELERO",'[1]tabla dinámica pernocta'!$H$5,"PAIS/INDICADOR","PERNOCTACIONES","MES","9","AÑO",2009)</f>
        <v>1563852</v>
      </c>
      <c r="K22" s="52">
        <f>GETPIVOTDATA("Suma de Extrahoteleros",'[1]tabla dinámica pernocta'!$H$5,"PAIS/INDICADOR","PERNOCTACIONES","MES","9","AÑO",2009)</f>
        <v>1153578</v>
      </c>
      <c r="L22" s="52">
        <f>GETPIVOTDATA("Suma de TOTAL GENERAL",'[1]tabla dinámica pernocta'!$H$5,"PAIS/INDICADOR","PERNOCTACIONES","MES","9","AÑO",2009)</f>
        <v>2717430</v>
      </c>
    </row>
    <row r="23" spans="3:12" hidden="1" outlineLevel="1">
      <c r="C23" s="51" t="s">
        <v>41</v>
      </c>
      <c r="D23" s="52">
        <f>GETPIVOTDATA("dato",'[1]tabla dinámica pernocta'!$P$5,"categoría","Hoteleros","mes",8,"año",2009)</f>
        <v>832742</v>
      </c>
      <c r="E23" s="52">
        <f>GETPIVOTDATA("dato",'[1]tabla dinámica pernocta'!$P$5,"categoría","EXTRAHOTELEROS","mes",8,"año",2009)</f>
        <v>564101</v>
      </c>
      <c r="F23" s="52">
        <f>GETPIVOTDATA("dato",'[1]tabla dinámica pernocta'!$P$5,"categoría","TOTAL","mes",8,"año",2009)</f>
        <v>1396843</v>
      </c>
      <c r="G23" s="52">
        <f>GETPIVOTDATA("Suma de hotel z4",'[1]tabla dinámica pernocta'!$H$5,"PAIS/INDICADOR","PERNOCTACIONES","MES","8","AÑO",2009)</f>
        <v>1518174</v>
      </c>
      <c r="H23" s="52">
        <f>GETPIVOTDATA("Suma de extra-h z4",'[1]tabla dinámica pernocta'!$H$5,"PAIS/INDICADOR","PERNOCTACIONES","MES","8","AÑO",2009)</f>
        <v>1404758</v>
      </c>
      <c r="I23" s="52">
        <f>GETPIVOTDATA("Suma de total z4",'[1]tabla dinámica pernocta'!$H$5,"PAIS/INDICADOR","PERNOCTACIONES","MES","8","AÑO",2009)</f>
        <v>2922932</v>
      </c>
      <c r="J23" s="52">
        <f>GETPIVOTDATA("Suma de TOTAL HOTELERO",'[1]tabla dinámica pernocta'!$H$5,"PAIS/INDICADOR","PERNOCTACIONES","MES","8","AÑO",2009)</f>
        <v>1953383</v>
      </c>
      <c r="K23" s="52">
        <f>GETPIVOTDATA("Suma de Extrahoteleros",'[1]tabla dinámica pernocta'!$H$5,"PAIS/INDICADOR","PERNOCTACIONES","MES","8","AÑO",2009)</f>
        <v>1616501</v>
      </c>
      <c r="L23" s="52">
        <f>GETPIVOTDATA("Suma de TOTAL GENERAL",'[1]tabla dinámica pernocta'!$H$5,"PAIS/INDICADOR","PERNOCTACIONES","MES","8","AÑO",2009)</f>
        <v>3569884</v>
      </c>
    </row>
    <row r="24" spans="3:12" hidden="1" outlineLevel="1">
      <c r="C24" s="51" t="s">
        <v>42</v>
      </c>
      <c r="D24" s="52">
        <f>GETPIVOTDATA("dato",'[1]tabla dinámica pernocta'!$P$5,"categoría","Hoteleros","mes",7,"año",2009)</f>
        <v>781852</v>
      </c>
      <c r="E24" s="52">
        <f>GETPIVOTDATA("dato",'[1]tabla dinámica pernocta'!$P$5,"categoría","EXTRAHOTELEROS","mes",7,"año",2009)</f>
        <v>447430</v>
      </c>
      <c r="F24" s="52">
        <f>GETPIVOTDATA("dato",'[1]tabla dinámica pernocta'!$P$5,"categoría","TOTAL","mes",7,"año",2009)</f>
        <v>1229282</v>
      </c>
      <c r="G24" s="52">
        <f>GETPIVOTDATA("Suma de hotel z4",'[1]tabla dinámica pernocta'!$H$5,"PAIS/INDICADOR","PERNOCTACIONES","MES","7","AÑO",2009)</f>
        <v>1441101</v>
      </c>
      <c r="H24" s="52">
        <f>GETPIVOTDATA("Suma de extra-h z4",'[1]tabla dinámica pernocta'!$H$5,"PAIS/INDICADOR","PERNOCTACIONES","MES","7","AÑO",2009)</f>
        <v>1206577</v>
      </c>
      <c r="I24" s="52">
        <f>GETPIVOTDATA("Suma de total z4",'[1]tabla dinámica pernocta'!$H$5,"PAIS/INDICADOR","PERNOCTACIONES","MES","7","AÑO",2009)</f>
        <v>2647678</v>
      </c>
      <c r="J24" s="52">
        <f>GETPIVOTDATA("Suma de TOTAL HOTELERO",'[1]tabla dinámica pernocta'!$H$5,"PAIS/INDICADOR","PERNOCTACIONES","MES","7","AÑO",2009)</f>
        <v>1793828</v>
      </c>
      <c r="K24" s="52">
        <f>GETPIVOTDATA("Suma de Extrahoteleros",'[1]tabla dinámica pernocta'!$H$5,"PAIS/INDICADOR","PERNOCTACIONES","MES","7","AÑO",2009)</f>
        <v>1385305</v>
      </c>
      <c r="L24" s="52">
        <f>GETPIVOTDATA("Suma de TOTAL GENERAL",'[1]tabla dinámica pernocta'!$H$5,"PAIS/INDICADOR","PERNOCTACIONES","MES","7","AÑO",2009)</f>
        <v>3179133</v>
      </c>
    </row>
    <row r="25" spans="3:12" hidden="1" outlineLevel="1">
      <c r="C25" s="51" t="s">
        <v>43</v>
      </c>
      <c r="D25" s="52">
        <f>GETPIVOTDATA("dato",'[1]tabla dinámica pernocta'!$P$5,"categoría","Hoteleros","mes",6,"año",2009)</f>
        <v>615884</v>
      </c>
      <c r="E25" s="52">
        <f>GETPIVOTDATA("dato",'[1]tabla dinámica pernocta'!$P$5,"categoría","EXTRAHOTELEROS","mes",6,"año",2009)</f>
        <v>353309</v>
      </c>
      <c r="F25" s="52">
        <f>GETPIVOTDATA("dato",'[1]tabla dinámica pernocta'!$P$5,"categoría","TOTAL","mes",6,"año",2009)</f>
        <v>969193</v>
      </c>
      <c r="G25" s="52">
        <f>GETPIVOTDATA("Suma de hotel z4",'[1]tabla dinámica pernocta'!$H$5,"PAIS/INDICADOR","PERNOCTACIONES","MES","6","AÑO",2009)</f>
        <v>1172717</v>
      </c>
      <c r="H25" s="52">
        <f>GETPIVOTDATA("Suma de extra-h z4",'[1]tabla dinámica pernocta'!$H$5,"PAIS/INDICADOR","PERNOCTACIONES","MES","6","AÑO",2009)</f>
        <v>912108</v>
      </c>
      <c r="I25" s="52">
        <f>GETPIVOTDATA("Suma de total z4",'[1]tabla dinámica pernocta'!$H$5,"PAIS/INDICADOR","PERNOCTACIONES","MES","6","AÑO",2009)</f>
        <v>2084825</v>
      </c>
      <c r="J25" s="52">
        <f>GETPIVOTDATA("Suma de TOTAL HOTELERO",'[1]tabla dinámica pernocta'!$H$5,"PAIS/INDICADOR","PERNOCTACIONES","MES","6","AÑO",2009)</f>
        <v>1487696</v>
      </c>
      <c r="K25" s="52">
        <f>GETPIVOTDATA("Suma de Extrahoteleros",'[1]tabla dinámica pernocta'!$H$5,"PAIS/INDICADOR","PERNOCTACIONES","MES","6","AÑO",2009)</f>
        <v>1080912</v>
      </c>
      <c r="L25" s="52">
        <f>GETPIVOTDATA("Suma de TOTAL GENERAL",'[1]tabla dinámica pernocta'!$H$5,"PAIS/INDICADOR","PERNOCTACIONES","MES","6","AÑO",2009)</f>
        <v>2568608</v>
      </c>
    </row>
    <row r="26" spans="3:12" hidden="1" outlineLevel="1">
      <c r="C26" s="51" t="s">
        <v>44</v>
      </c>
      <c r="D26" s="52">
        <f>GETPIVOTDATA("dato",'[1]tabla dinámica pernocta'!$P$5,"categoría","Hoteleros","mes",5,"año",2009)</f>
        <v>584763</v>
      </c>
      <c r="E26" s="52">
        <f>GETPIVOTDATA("dato",'[1]tabla dinámica pernocta'!$P$5,"categoría","EXTRAHOTELEROS","mes",5,"año",2009)</f>
        <v>317253</v>
      </c>
      <c r="F26" s="52">
        <f>GETPIVOTDATA("dato",'[1]tabla dinámica pernocta'!$P$5,"categoría","TOTAL","mes",5,"año",2009)</f>
        <v>902016</v>
      </c>
      <c r="G26" s="52">
        <f>GETPIVOTDATA("Suma de hotel z4",'[1]tabla dinámica pernocta'!$H$5,"PAIS/INDICADOR","PERNOCTACIONES","MES","5","AÑO",2009)</f>
        <v>1104723</v>
      </c>
      <c r="H26" s="52">
        <f>GETPIVOTDATA("Suma de extra-h z4",'[1]tabla dinámica pernocta'!$H$5,"PAIS/INDICADOR","PERNOCTACIONES","MES","5","AÑO",2009)</f>
        <v>845043</v>
      </c>
      <c r="I26" s="52">
        <f>GETPIVOTDATA("Suma de total z4",'[1]tabla dinámica pernocta'!$H$5,"PAIS/INDICADOR","PERNOCTACIONES","MES","5","AÑO",2009)</f>
        <v>1949766</v>
      </c>
      <c r="J26" s="52">
        <f>GETPIVOTDATA("Suma de TOTAL HOTELERO",'[1]tabla dinámica pernocta'!$H$5,"PAIS/INDICADOR","PERNOCTACIONES","MES","5","AÑO",2009)</f>
        <v>1419900</v>
      </c>
      <c r="K26" s="52">
        <f>GETPIVOTDATA("Suma de Extrahoteleros",'[1]tabla dinámica pernocta'!$H$5,"PAIS/INDICADOR","PERNOCTACIONES","MES","5","AÑO",2009)</f>
        <v>1003208</v>
      </c>
      <c r="L26" s="52">
        <f>GETPIVOTDATA("Suma de TOTAL GENERAL",'[1]tabla dinámica pernocta'!$H$5,"PAIS/INDICADOR","PERNOCTACIONES","MES","5","AÑO",2009)</f>
        <v>2423108</v>
      </c>
    </row>
    <row r="27" spans="3:12" hidden="1" outlineLevel="1">
      <c r="C27" s="51" t="s">
        <v>45</v>
      </c>
      <c r="D27" s="52">
        <f>GETPIVOTDATA("dato",'[1]tabla dinámica pernocta'!$P$5,"categoría","Hoteleros","mes",4,"año",2009)</f>
        <v>682472</v>
      </c>
      <c r="E27" s="52">
        <f>GETPIVOTDATA("dato",'[1]tabla dinámica pernocta'!$P$5,"categoría","EXTRAHOTELEROS","mes",4,"año",2009)</f>
        <v>418737</v>
      </c>
      <c r="F27" s="52">
        <f>GETPIVOTDATA("dato",'[1]tabla dinámica pernocta'!$P$5,"categoría","TOTAL","mes",4,"año",2009)</f>
        <v>1101209</v>
      </c>
      <c r="G27" s="52">
        <f>GETPIVOTDATA("Suma de hotel z4",'[1]tabla dinámica pernocta'!$H$5,"PAIS/INDICADOR","PERNOCTACIONES","MES","4","AÑO",2009)</f>
        <v>1273150</v>
      </c>
      <c r="H27" s="52">
        <f>GETPIVOTDATA("Suma de extra-h z4",'[1]tabla dinámica pernocta'!$H$5,"PAIS/INDICADOR","PERNOCTACIONES","MES","4","AÑO",2009)</f>
        <v>1090938</v>
      </c>
      <c r="I27" s="52">
        <f>GETPIVOTDATA("Suma de total z4",'[1]tabla dinámica pernocta'!$H$5,"PAIS/INDICADOR","PERNOCTACIONES","MES","4","AÑO",2009)</f>
        <v>2364088</v>
      </c>
      <c r="J27" s="52">
        <f>GETPIVOTDATA("Suma de TOTAL HOTELERO",'[1]tabla dinámica pernocta'!$H$5,"PAIS/INDICADOR","PERNOCTACIONES","MES","4","AÑO",2009)</f>
        <v>1648568</v>
      </c>
      <c r="K27" s="52">
        <f>GETPIVOTDATA("Suma de Extrahoteleros",'[1]tabla dinámica pernocta'!$H$5,"PAIS/INDICADOR","PERNOCTACIONES","MES","4","AÑO",2009)</f>
        <v>1269875</v>
      </c>
      <c r="L27" s="52">
        <f>GETPIVOTDATA("Suma de TOTAL GENERAL",'[1]tabla dinámica pernocta'!$H$5,"PAIS/INDICADOR","PERNOCTACIONES","MES","4","AÑO",2009)</f>
        <v>2918443</v>
      </c>
    </row>
    <row r="28" spans="3:12" hidden="1" outlineLevel="1">
      <c r="C28" s="51" t="s">
        <v>46</v>
      </c>
      <c r="D28" s="52">
        <f>GETPIVOTDATA("dato",'[1]tabla dinámica pernocta'!$P$5,"categoría","Hoteleros","mes",3,"año",2009)</f>
        <v>691848</v>
      </c>
      <c r="E28" s="52">
        <f>GETPIVOTDATA("dato",'[1]tabla dinámica pernocta'!$P$5,"categoría","EXTRAHOTELEROS","mes",3,"año",2009)</f>
        <v>466252</v>
      </c>
      <c r="F28" s="52">
        <f>GETPIVOTDATA("dato",'[1]tabla dinámica pernocta'!$P$5,"categoría","TOTAL","mes",3,"año",2009)</f>
        <v>1158100</v>
      </c>
      <c r="G28" s="52">
        <f>GETPIVOTDATA("Suma de hotel z4",'[1]tabla dinámica pernocta'!$H$5,"PAIS/INDICADOR","PERNOCTACIONES","MES","3","AÑO",2009)</f>
        <v>1303981</v>
      </c>
      <c r="H28" s="52">
        <f>GETPIVOTDATA("Suma de extra-h z4",'[1]tabla dinámica pernocta'!$H$5,"PAIS/INDICADOR","PERNOCTACIONES","MES","3","AÑO",2009)</f>
        <v>1310972</v>
      </c>
      <c r="I28" s="52">
        <f>GETPIVOTDATA("Suma de total z4",'[1]tabla dinámica pernocta'!$H$5,"PAIS/INDICADOR","PERNOCTACIONES","MES","3","AÑO",2009)</f>
        <v>2614953</v>
      </c>
      <c r="J28" s="52">
        <f>GETPIVOTDATA("Suma de TOTAL HOTELERO",'[1]tabla dinámica pernocta'!$H$5,"PAIS/INDICADOR","PERNOCTACIONES","MES","3","AÑO",2009)</f>
        <v>1727907</v>
      </c>
      <c r="K28" s="52">
        <f>GETPIVOTDATA("Suma de Extrahoteleros",'[1]tabla dinámica pernocta'!$H$5,"PAIS/INDICADOR","PERNOCTACIONES","MES","3","AÑO",2009)</f>
        <v>1557564</v>
      </c>
      <c r="L28" s="52">
        <f>GETPIVOTDATA("Suma de TOTAL GENERAL",'[1]tabla dinámica pernocta'!$H$5,"PAIS/INDICADOR","PERNOCTACIONES","MES","3","AÑO",2009)</f>
        <v>3285471</v>
      </c>
    </row>
    <row r="29" spans="3:12" hidden="1" outlineLevel="1">
      <c r="C29" s="51" t="s">
        <v>47</v>
      </c>
      <c r="D29" s="52">
        <f>GETPIVOTDATA("dato",'[1]tabla dinámica pernocta'!$P$5,"categoría","Hoteleros","mes",2,"año",2009)</f>
        <v>652745</v>
      </c>
      <c r="E29" s="52">
        <f>GETPIVOTDATA("dato",'[1]tabla dinámica pernocta'!$P$5,"categoría","EXTRAHOTELEROS","mes",2,"año",2009)</f>
        <v>456200</v>
      </c>
      <c r="F29" s="52">
        <f>GETPIVOTDATA("dato",'[1]tabla dinámica pernocta'!$P$5,"categoría","TOTAL","mes",2,"año",2009)</f>
        <v>1108945</v>
      </c>
      <c r="G29" s="52">
        <f>GETPIVOTDATA("Suma de hotel z4",'[1]tabla dinámica pernocta'!$H$5,"PAIS/INDICADOR","PERNOCTACIONES","MES","2","AÑO",2009)</f>
        <v>1250254</v>
      </c>
      <c r="H29" s="52">
        <f>GETPIVOTDATA("Suma de extra-h z4",'[1]tabla dinámica pernocta'!$H$5,"PAIS/INDICADOR","PERNOCTACIONES","MES","2","AÑO",2009)</f>
        <v>1242733</v>
      </c>
      <c r="I29" s="52">
        <f>GETPIVOTDATA("Suma de total z4",'[1]tabla dinámica pernocta'!$H$5,"PAIS/INDICADOR","PERNOCTACIONES","MES","2","AÑO",2009)</f>
        <v>2492987</v>
      </c>
      <c r="J29" s="52">
        <f>GETPIVOTDATA("Suma de TOTAL HOTELERO",'[1]tabla dinámica pernocta'!$H$5,"PAIS/INDICADOR","PERNOCTACIONES","MES","2","AÑO",2009)</f>
        <v>1654586</v>
      </c>
      <c r="K29" s="52">
        <f>GETPIVOTDATA("Suma de Extrahoteleros",'[1]tabla dinámica pernocta'!$H$5,"PAIS/INDICADOR","PERNOCTACIONES","MES","2","AÑO",2009)</f>
        <v>1492297</v>
      </c>
      <c r="L29" s="52">
        <f>GETPIVOTDATA("Suma de TOTAL GENERAL",'[1]tabla dinámica pernocta'!$H$5,"PAIS/INDICADOR","PERNOCTACIONES","MES","2","AÑO",2009)</f>
        <v>3146883</v>
      </c>
    </row>
    <row r="30" spans="3:12" hidden="1" outlineLevel="1">
      <c r="C30" s="51" t="s">
        <v>48</v>
      </c>
      <c r="D30" s="52">
        <f>GETPIVOTDATA("dato",'[1]tabla dinámica pernocta'!$P$5,"categoría","Hoteleros","mes",1,"año",2009)</f>
        <v>750338</v>
      </c>
      <c r="E30" s="52">
        <f>GETPIVOTDATA("dato",'[1]tabla dinámica pernocta'!$P$5,"categoría","EXTRAHOTELEROS","mes",1,"año",2009)</f>
        <v>492580</v>
      </c>
      <c r="F30" s="52">
        <f>GETPIVOTDATA("dato",'[1]tabla dinámica pernocta'!$P$5,"categoría","TOTAL","mes",1,"año",2009)</f>
        <v>1242918</v>
      </c>
      <c r="G30" s="52">
        <f>GETPIVOTDATA("Suma de hotel z4",'[1]tabla dinámica pernocta'!$H$5,"PAIS/INDICADOR","PERNOCTACIONES","MES","1","AÑO",2009)</f>
        <v>1393741</v>
      </c>
      <c r="H30" s="52">
        <f>GETPIVOTDATA("Suma de extra-h z4",'[1]tabla dinámica pernocta'!$H$5,"PAIS/INDICADOR","PERNOCTACIONES","MES","1","AÑO",2009)</f>
        <v>1314841</v>
      </c>
      <c r="I30" s="52">
        <f>GETPIVOTDATA("Suma de total z4",'[1]tabla dinámica pernocta'!$H$5,"PAIS/INDICADOR","PERNOCTACIONES","MES","1","AÑO",2009)</f>
        <v>2708582</v>
      </c>
      <c r="J30" s="52">
        <f>GETPIVOTDATA("Suma de TOTAL HOTELERO",'[1]tabla dinámica pernocta'!$H$5,"PAIS/INDICADOR","PERNOCTACIONES","MES","1","AÑO",2009)</f>
        <v>1832577</v>
      </c>
      <c r="K30" s="52">
        <f>GETPIVOTDATA("Suma de Extrahoteleros",'[1]tabla dinámica pernocta'!$H$5,"PAIS/INDICADOR","PERNOCTACIONES","MES","1","AÑO",2009)</f>
        <v>1587962</v>
      </c>
      <c r="L30" s="52">
        <f>GETPIVOTDATA("Suma de TOTAL GENERAL",'[1]tabla dinámica pernocta'!$H$5,"PAIS/INDICADOR","PERNOCTACIONES","MES","1","AÑO",2009)</f>
        <v>3420539</v>
      </c>
    </row>
    <row r="31" spans="3:12" collapsed="1">
      <c r="C31" s="132">
        <v>2009</v>
      </c>
      <c r="D31" s="57">
        <f>GETPIVOTDATA("dato",'[1]tabla dinámica pernocta'!$P$5,"categoría","Hoteleros","año",2009)</f>
        <v>8343638</v>
      </c>
      <c r="E31" s="57">
        <f>GETPIVOTDATA("dato",'[1]tabla dinámica pernocta'!$P$5,"categoría","EXTRAHOTELEROS","año",2009)</f>
        <v>5175846</v>
      </c>
      <c r="F31" s="57">
        <f>GETPIVOTDATA("dato",'[1]tabla dinámica pernocta'!$P$5,"categoría","TOTAL","año",2009)</f>
        <v>13519484</v>
      </c>
      <c r="G31" s="57">
        <f>GETPIVOTDATA("Suma de hotel z4",'[1]tabla dinámica pernocta'!$H$5,"PAIS/INDICADOR","PERNOCTACIONES","AÑO",2009)</f>
        <v>15557448</v>
      </c>
      <c r="H31" s="57">
        <f>GETPIVOTDATA("Suma de extra-h z4",'[1]tabla dinámica pernocta'!$H$5,"PAIS/INDICADOR","PERNOCTACIONES","AÑO",2009)</f>
        <v>13729987</v>
      </c>
      <c r="I31" s="57">
        <f>GETPIVOTDATA("Suma de total z4",'[1]tabla dinámica pernocta'!$H$5,"PAIS/INDICADOR","PERNOCTACIONES","AÑO",2009)</f>
        <v>29287435</v>
      </c>
      <c r="J31" s="57">
        <f>GETPIVOTDATA("Suma de TOTAL HOTELERO",'[1]tabla dinámica pernocta'!$H$5,"PAIS/INDICADOR","PERNOCTACIONES","AÑO",2009)</f>
        <v>20026382</v>
      </c>
      <c r="K31" s="57">
        <f>GETPIVOTDATA("Suma de Extrahoteleros",'[1]tabla dinámica pernocta'!$H$5,"PAIS/INDICADOR","PERNOCTACIONES","AÑO",2009)</f>
        <v>16098324</v>
      </c>
      <c r="L31" s="57">
        <f>GETPIVOTDATA("Suma de TOTAL GENERAL",'[1]tabla dinámica pernocta'!$H$5,"PAIS/INDICADOR","PERNOCTACIONES","AÑO",2009)</f>
        <v>36124706</v>
      </c>
    </row>
    <row r="32" spans="3:12" hidden="1" outlineLevel="1">
      <c r="C32" s="51" t="s">
        <v>37</v>
      </c>
      <c r="D32" s="52">
        <f>GETPIVOTDATA("dato",'[1]tabla dinámica pernocta'!$P$5,"categoría","Hoteleros","mes",12,"año",2008)</f>
        <v>741009</v>
      </c>
      <c r="E32" s="52">
        <f>GETPIVOTDATA("dato",'[1]tabla dinámica pernocta'!$P$5,"categoría","EXTRAHOTELEROS","mes",12,"año",2008)</f>
        <v>486164</v>
      </c>
      <c r="F32" s="52">
        <f>GETPIVOTDATA("dato",'[1]tabla dinámica pernocta'!$P$5,"categoría","TOTAL","mes",12,"año",2008)</f>
        <v>1227173</v>
      </c>
      <c r="G32" s="52">
        <f>GETPIVOTDATA("Suma de hotel z4",'[1]tabla dinámica pernocta'!$H$5,"PAIS/INDICADOR","PERNOCTACIONES","MES","12","AÑO",2008)</f>
        <v>1348788</v>
      </c>
      <c r="H32" s="52">
        <f>GETPIVOTDATA("Suma de extra-h z4",'[1]tabla dinámica pernocta'!$H$5,"PAIS/INDICADOR","PERNOCTACIONES","MES","12","AÑO",2008)</f>
        <v>1305326</v>
      </c>
      <c r="I32" s="52">
        <f>GETPIVOTDATA("Suma de total z4",'[1]tabla dinámica pernocta'!$H$5,"PAIS/INDICADOR","PERNOCTACIONES","MES","12","AÑO",2008)</f>
        <v>2654114</v>
      </c>
      <c r="J32" s="52">
        <f>GETPIVOTDATA("Suma de TOTAL HOTELERO",'[1]tabla dinámica pernocta'!$H$5,"PAIS/INDICADOR","PERNOCTACIONES","MES","12","AÑO",2008)</f>
        <v>1787997</v>
      </c>
      <c r="K32" s="52">
        <f>GETPIVOTDATA("Suma de Extrahoteleros",'[1]tabla dinámica pernocta'!$H$5,"PAIS/INDICADOR","PERNOCTACIONES","MES","12","AÑO",2008)</f>
        <v>1569972</v>
      </c>
      <c r="L32" s="52">
        <f>GETPIVOTDATA("Suma de TOTAL GENERAL",'[1]tabla dinámica pernocta'!$H$5,"PAIS/INDICADOR","PERNOCTACIONES","MES","12","AÑO",2008)</f>
        <v>3357969</v>
      </c>
    </row>
    <row r="33" spans="3:12" hidden="1" outlineLevel="1">
      <c r="C33" s="51" t="s">
        <v>38</v>
      </c>
      <c r="D33" s="52">
        <f>GETPIVOTDATA("dato",'[1]tabla dinámica pernocta'!$P$5,"categoría","Hoteleros","mes",11,"año",2008)</f>
        <v>779291</v>
      </c>
      <c r="E33" s="52">
        <f>GETPIVOTDATA("dato",'[1]tabla dinámica pernocta'!$P$5,"categoría","EXTRAHOTELEROS","mes",11,"año",2008)</f>
        <v>476891</v>
      </c>
      <c r="F33" s="52">
        <f>GETPIVOTDATA("dato",'[1]tabla dinámica pernocta'!$P$5,"categoría","TOTAL","mes",11,"año",2008)</f>
        <v>1256182</v>
      </c>
      <c r="G33" s="52">
        <f>GETPIVOTDATA("Suma de hotel z4",'[1]tabla dinámica pernocta'!$H$5,"PAIS/INDICADOR","PERNOCTACIONES","MES","11","AÑO",2008)</f>
        <v>1380250</v>
      </c>
      <c r="H33" s="52">
        <f>GETPIVOTDATA("Suma de extra-h z4",'[1]tabla dinámica pernocta'!$H$5,"PAIS/INDICADOR","PERNOCTACIONES","MES","11","AÑO",2008)</f>
        <v>1331372</v>
      </c>
      <c r="I33" s="52">
        <f>GETPIVOTDATA("Suma de total z4",'[1]tabla dinámica pernocta'!$H$5,"PAIS/INDICADOR","PERNOCTACIONES","MES","11","AÑO",2008)</f>
        <v>2711622</v>
      </c>
      <c r="J33" s="52">
        <f>GETPIVOTDATA("Suma de TOTAL HOTELERO",'[1]tabla dinámica pernocta'!$H$5,"PAIS/INDICADOR","PERNOCTACIONES","MES","11","AÑO",2008)</f>
        <v>1811912</v>
      </c>
      <c r="K33" s="52">
        <f>GETPIVOTDATA("Suma de Extrahoteleros",'[1]tabla dinámica pernocta'!$H$5,"PAIS/INDICADOR","PERNOCTACIONES","MES","11","AÑO",2008)</f>
        <v>1590100</v>
      </c>
      <c r="L33" s="52">
        <f>GETPIVOTDATA("Suma de TOTAL GENERAL",'[1]tabla dinámica pernocta'!$H$5,"PAIS/INDICADOR","PERNOCTACIONES","MES","11","AÑO",2008)</f>
        <v>3402012</v>
      </c>
    </row>
    <row r="34" spans="3:12" hidden="1" outlineLevel="1">
      <c r="C34" s="51" t="s">
        <v>39</v>
      </c>
      <c r="D34" s="52">
        <f>GETPIVOTDATA("dato",'[1]tabla dinámica pernocta'!$P$5,"categoría","Hoteleros","mes",10,"año",2008)</f>
        <v>811232</v>
      </c>
      <c r="E34" s="52">
        <f>GETPIVOTDATA("dato",'[1]tabla dinámica pernocta'!$P$5,"categoría","EXTRAHOTELEROS","mes",10,"año",2008)</f>
        <v>475371</v>
      </c>
      <c r="F34" s="52">
        <f>GETPIVOTDATA("dato",'[1]tabla dinámica pernocta'!$P$5,"categoría","TOTAL","mes",10,"año",2008)</f>
        <v>1286603</v>
      </c>
      <c r="G34" s="52">
        <f>GETPIVOTDATA("Suma de hotel z4",'[1]tabla dinámica pernocta'!$H$5,"PAIS/INDICADOR","PERNOCTACIONES","MES","10","AÑO",2008)</f>
        <v>1442873</v>
      </c>
      <c r="H34" s="52">
        <f>GETPIVOTDATA("Suma de extra-h z4",'[1]tabla dinámica pernocta'!$H$5,"PAIS/INDICADOR","PERNOCTACIONES","MES","10","AÑO",2008)</f>
        <v>1248375</v>
      </c>
      <c r="I34" s="52">
        <f>GETPIVOTDATA("Suma de total z4",'[1]tabla dinámica pernocta'!$H$5,"PAIS/INDICADOR","PERNOCTACIONES","MES","10","AÑO",2008)</f>
        <v>2691248</v>
      </c>
      <c r="J34" s="52">
        <f>GETPIVOTDATA("Suma de TOTAL HOTELERO",'[1]tabla dinámica pernocta'!$H$5,"PAIS/INDICADOR","PERNOCTACIONES","MES","10","AÑO",2008)</f>
        <v>1831399</v>
      </c>
      <c r="K34" s="52">
        <f>GETPIVOTDATA("Suma de Extrahoteleros",'[1]tabla dinámica pernocta'!$H$5,"PAIS/INDICADOR","PERNOCTACIONES","MES","10","AÑO",2008)</f>
        <v>1459828</v>
      </c>
      <c r="L34" s="52">
        <f>GETPIVOTDATA("Suma de TOTAL GENERAL",'[1]tabla dinámica pernocta'!$H$5,"PAIS/INDICADOR","PERNOCTACIONES","MES","10","AÑO",2008)</f>
        <v>3291227</v>
      </c>
    </row>
    <row r="35" spans="3:12" hidden="1" outlineLevel="1">
      <c r="C35" s="51" t="s">
        <v>40</v>
      </c>
      <c r="D35" s="52">
        <f>GETPIVOTDATA("dato",'[1]tabla dinámica pernocta'!$P$5,"categoría","Hoteleros","mes",9,"año",2008)</f>
        <v>761441</v>
      </c>
      <c r="E35" s="52">
        <f>GETPIVOTDATA("dato",'[1]tabla dinámica pernocta'!$P$5,"categoría","EXTRAHOTELEROS","mes",9,"año",2008)</f>
        <v>431011</v>
      </c>
      <c r="F35" s="52">
        <f>GETPIVOTDATA("dato",'[1]tabla dinámica pernocta'!$P$5,"categoría","TOTAL","mes",9,"año",2008)</f>
        <v>1192452</v>
      </c>
      <c r="G35" s="52">
        <f>GETPIVOTDATA("Suma de hotel z4",'[1]tabla dinámica pernocta'!$H$5,"PAIS/INDICADOR","PERNOCTACIONES","MES","9","AÑO",2008)</f>
        <v>1372246</v>
      </c>
      <c r="H35" s="52">
        <f>GETPIVOTDATA("Suma de extra-h z4",'[1]tabla dinámica pernocta'!$H$5,"PAIS/INDICADOR","PERNOCTACIONES","MES","9","AÑO",2008)</f>
        <v>1101578</v>
      </c>
      <c r="I35" s="52">
        <f>GETPIVOTDATA("Suma de total z4",'[1]tabla dinámica pernocta'!$H$5,"PAIS/INDICADOR","PERNOCTACIONES","MES","9","AÑO",2008)</f>
        <v>2473824</v>
      </c>
      <c r="J35" s="52">
        <f>GETPIVOTDATA("Suma de TOTAL HOTELERO",'[1]tabla dinámica pernocta'!$H$5,"PAIS/INDICADOR","PERNOCTACIONES","MES","9","AÑO",2008)</f>
        <v>1779143</v>
      </c>
      <c r="K35" s="52">
        <f>GETPIVOTDATA("Suma de Extrahoteleros",'[1]tabla dinámica pernocta'!$H$5,"PAIS/INDICADOR","PERNOCTACIONES","MES","9","AÑO",2008)</f>
        <v>1308186</v>
      </c>
      <c r="L35" s="52">
        <f>GETPIVOTDATA("Suma de TOTAL GENERAL",'[1]tabla dinámica pernocta'!$H$5,"PAIS/INDICADOR","PERNOCTACIONES","MES","9","AÑO",2008)</f>
        <v>3087329</v>
      </c>
    </row>
    <row r="36" spans="3:12" ht="15" hidden="1" customHeight="1" outlineLevel="1">
      <c r="C36" s="51" t="s">
        <v>41</v>
      </c>
      <c r="D36" s="52">
        <f>GETPIVOTDATA("dato",'[1]tabla dinámica pernocta'!$P$5,"categoría","Hoteleros","mes",8,"año",2008)</f>
        <v>954728</v>
      </c>
      <c r="E36" s="52">
        <f>GETPIVOTDATA("dato",'[1]tabla dinámica pernocta'!$P$5,"categoría","EXTRAHOTELEROS","mes",8,"año",2008)</f>
        <v>644211</v>
      </c>
      <c r="F36" s="52">
        <f>GETPIVOTDATA("dato",'[1]tabla dinámica pernocta'!$P$5,"categoría","TOTAL","mes",8,"año",2008)</f>
        <v>1598939</v>
      </c>
      <c r="G36" s="52">
        <f>GETPIVOTDATA("Suma de hotel z4",'[1]tabla dinámica pernocta'!$H$5,"PAIS/INDICADOR","PERNOCTACIONES","MES","8","AÑO",2008)</f>
        <v>1694975</v>
      </c>
      <c r="H36" s="52">
        <f>GETPIVOTDATA("Suma de extra-h z4",'[1]tabla dinámica pernocta'!$H$5,"PAIS/INDICADOR","PERNOCTACIONES","MES","8","AÑO",2008)</f>
        <v>1586662</v>
      </c>
      <c r="I36" s="52">
        <f>GETPIVOTDATA("Suma de total z4",'[1]tabla dinámica pernocta'!$H$5,"PAIS/INDICADOR","PERNOCTACIONES","MES","8","AÑO",2008)</f>
        <v>3281637</v>
      </c>
      <c r="J36" s="52">
        <f>GETPIVOTDATA("Suma de TOTAL HOTELERO",'[1]tabla dinámica pernocta'!$H$5,"PAIS/INDICADOR","PERNOCTACIONES","MES","8","AÑO",2008)</f>
        <v>2239441</v>
      </c>
      <c r="K36" s="52">
        <f>GETPIVOTDATA("Suma de Extrahoteleros",'[1]tabla dinámica pernocta'!$H$5,"PAIS/INDICADOR","PERNOCTACIONES","MES","8","AÑO",2008)</f>
        <v>1917147</v>
      </c>
      <c r="L36" s="52">
        <f>GETPIVOTDATA("Suma de TOTAL GENERAL",'[1]tabla dinámica pernocta'!$H$5,"PAIS/INDICADOR","PERNOCTACIONES","MES","8","AÑO",2008)</f>
        <v>4156588</v>
      </c>
    </row>
    <row r="37" spans="3:12" ht="15" hidden="1" customHeight="1" outlineLevel="1">
      <c r="C37" s="51" t="s">
        <v>42</v>
      </c>
      <c r="D37" s="52">
        <f>GETPIVOTDATA("dato",'[1]tabla dinámica pernocta'!$P$5,"categoría","Hoteleros","mes",7,"año",2008)</f>
        <v>936883</v>
      </c>
      <c r="E37" s="52">
        <f>GETPIVOTDATA("dato",'[1]tabla dinámica pernocta'!$P$5,"categoría","EXTRAHOTELEROS","mes",7,"año",2008)</f>
        <v>557988</v>
      </c>
      <c r="F37" s="52">
        <f>GETPIVOTDATA("dato",'[1]tabla dinámica pernocta'!$P$5,"categoría","TOTAL","mes",7,"año",2008)</f>
        <v>1494871</v>
      </c>
      <c r="G37" s="52">
        <f>GETPIVOTDATA("Suma de hotel z4",'[1]tabla dinámica pernocta'!$H$5,"PAIS/INDICADOR","PERNOCTACIONES","MES","7","AÑO",2008)</f>
        <v>1655960</v>
      </c>
      <c r="H37" s="52">
        <f>GETPIVOTDATA("Suma de extra-h z4",'[1]tabla dinámica pernocta'!$H$5,"PAIS/INDICADOR","PERNOCTACIONES","MES","7","AÑO",2008)</f>
        <v>1431909</v>
      </c>
      <c r="I37" s="52">
        <f>GETPIVOTDATA("Suma de total z4",'[1]tabla dinámica pernocta'!$H$5,"PAIS/INDICADOR","PERNOCTACIONES","MES","7","AÑO",2008)</f>
        <v>3087869</v>
      </c>
      <c r="J37" s="52">
        <f>GETPIVOTDATA("Suma de TOTAL HOTELERO",'[1]tabla dinámica pernocta'!$H$5,"PAIS/INDICADOR","PERNOCTACIONES","MES","7","AÑO",2008)</f>
        <v>2110883</v>
      </c>
      <c r="K37" s="52">
        <f>GETPIVOTDATA("Suma de Extrahoteleros",'[1]tabla dinámica pernocta'!$H$5,"PAIS/INDICADOR","PERNOCTACIONES","MES","7","AÑO",2008)</f>
        <v>1691231</v>
      </c>
      <c r="L37" s="52">
        <f>GETPIVOTDATA("Suma de TOTAL GENERAL",'[1]tabla dinámica pernocta'!$H$5,"PAIS/INDICADOR","PERNOCTACIONES","MES","7","AÑO",2008)</f>
        <v>3802114</v>
      </c>
    </row>
    <row r="38" spans="3:12" ht="15" hidden="1" customHeight="1" outlineLevel="1">
      <c r="C38" s="51" t="s">
        <v>43</v>
      </c>
      <c r="D38" s="52">
        <f>GETPIVOTDATA("dato",'[1]tabla dinámica pernocta'!$P$5,"categoría","Hoteleros","mes",6,"año",2008)</f>
        <v>769636</v>
      </c>
      <c r="E38" s="52">
        <f>GETPIVOTDATA("dato",'[1]tabla dinámica pernocta'!$P$5,"categoría","EXTRAHOTELEROS","mes",6,"año",2008)</f>
        <v>447008</v>
      </c>
      <c r="F38" s="52">
        <f>GETPIVOTDATA("dato",'[1]tabla dinámica pernocta'!$P$5,"categoría","TOTAL","mes",6,"año",2008)</f>
        <v>1216644</v>
      </c>
      <c r="G38" s="52">
        <f>GETPIVOTDATA("Suma de hotel z4",'[1]tabla dinámica pernocta'!$H$5,"PAIS/INDICADOR","PERNOCTACIONES","MES","6","AÑO",2008)</f>
        <v>1344539</v>
      </c>
      <c r="H38" s="52">
        <f>GETPIVOTDATA("Suma de extra-h z4",'[1]tabla dinámica pernocta'!$H$5,"PAIS/INDICADOR","PERNOCTACIONES","MES","6","AÑO",2008)</f>
        <v>1131089</v>
      </c>
      <c r="I38" s="52">
        <f>GETPIVOTDATA("Suma de total z4",'[1]tabla dinámica pernocta'!$H$5,"PAIS/INDICADOR","PERNOCTACIONES","MES","6","AÑO",2008)</f>
        <v>2475628</v>
      </c>
      <c r="J38" s="52">
        <f>GETPIVOTDATA("Suma de TOTAL HOTELERO",'[1]tabla dinámica pernocta'!$H$5,"PAIS/INDICADOR","PERNOCTACIONES","MES","6","AÑO",2008)</f>
        <v>1744555</v>
      </c>
      <c r="K38" s="52">
        <f>GETPIVOTDATA("Suma de Extrahoteleros",'[1]tabla dinámica pernocta'!$H$5,"PAIS/INDICADOR","PERNOCTACIONES","MES","6","AÑO",2008)</f>
        <v>1342804</v>
      </c>
      <c r="L38" s="52">
        <f>GETPIVOTDATA("Suma de TOTAL GENERAL",'[1]tabla dinámica pernocta'!$H$5,"PAIS/INDICADOR","PERNOCTACIONES","MES","6","AÑO",2008)</f>
        <v>3087359</v>
      </c>
    </row>
    <row r="39" spans="3:12" hidden="1" outlineLevel="1">
      <c r="C39" s="51" t="s">
        <v>44</v>
      </c>
      <c r="D39" s="52">
        <f>GETPIVOTDATA("dato",'[1]tabla dinámica pernocta'!$P$5,"categoría","Hoteleros","mes",5,"año",2008)</f>
        <v>766069</v>
      </c>
      <c r="E39" s="52">
        <f>GETPIVOTDATA("dato",'[1]tabla dinámica pernocta'!$P$5,"categoría","EXTRAHOTELEROS","mes",5,"año",2008)</f>
        <v>433610</v>
      </c>
      <c r="F39" s="52">
        <f>GETPIVOTDATA("dato",'[1]tabla dinámica pernocta'!$P$5,"categoría","TOTAL","mes",5,"año",2008)</f>
        <v>1199679</v>
      </c>
      <c r="G39" s="52">
        <f>GETPIVOTDATA("Suma de hotel z4",'[1]tabla dinámica pernocta'!$H$5,"PAIS/INDICADOR","PERNOCTACIONES","MES","5","AÑO",2008)</f>
        <v>1314657</v>
      </c>
      <c r="H39" s="52">
        <f>GETPIVOTDATA("Suma de extra-h z4",'[1]tabla dinámica pernocta'!$H$5,"PAIS/INDICADOR","PERNOCTACIONES","MES","5","AÑO",2008)</f>
        <v>1022113</v>
      </c>
      <c r="I39" s="52">
        <f>GETPIVOTDATA("Suma de total z4",'[1]tabla dinámica pernocta'!$H$5,"PAIS/INDICADOR","PERNOCTACIONES","MES","5","AÑO",2008)</f>
        <v>2336770</v>
      </c>
      <c r="J39" s="52">
        <f>GETPIVOTDATA("Suma de TOTAL HOTELERO",'[1]tabla dinámica pernocta'!$H$5,"PAIS/INDICADOR","PERNOCTACIONES","MES","5","AÑO",2008)</f>
        <v>1723796</v>
      </c>
      <c r="K39" s="52">
        <f>GETPIVOTDATA("Suma de Extrahoteleros",'[1]tabla dinámica pernocta'!$H$5,"PAIS/INDICADOR","PERNOCTACIONES","MES","5","AÑO",2008)</f>
        <v>1245031</v>
      </c>
      <c r="L39" s="52">
        <f>GETPIVOTDATA("Suma de TOTAL GENERAL",'[1]tabla dinámica pernocta'!$H$5,"PAIS/INDICADOR","PERNOCTACIONES","MES","5","AÑO",2008)</f>
        <v>2968827</v>
      </c>
    </row>
    <row r="40" spans="3:12" hidden="1" outlineLevel="1">
      <c r="C40" s="51" t="s">
        <v>45</v>
      </c>
      <c r="D40" s="52">
        <f>GETPIVOTDATA("dato",'[1]tabla dinámica pernocta'!$P$5,"categoría","Hoteleros","mes",4,"año",2008)</f>
        <v>845306</v>
      </c>
      <c r="E40" s="52">
        <f>GETPIVOTDATA("dato",'[1]tabla dinámica pernocta'!$P$5,"categoría","EXTRAHOTELEROS","mes",4,"año",2008)</f>
        <v>472037</v>
      </c>
      <c r="F40" s="52">
        <f>GETPIVOTDATA("dato",'[1]tabla dinámica pernocta'!$P$5,"categoría","TOTAL","mes",4,"año",2008)</f>
        <v>1317343</v>
      </c>
      <c r="G40" s="52">
        <f>GETPIVOTDATA("Suma de hotel z4",'[1]tabla dinámica pernocta'!$H$5,"PAIS/INDICADOR","PERNOCTACIONES","MES","4","AÑO",2008)</f>
        <v>1428017</v>
      </c>
      <c r="H40" s="52">
        <f>GETPIVOTDATA("Suma de extra-h z4",'[1]tabla dinámica pernocta'!$H$5,"PAIS/INDICADOR","PERNOCTACIONES","MES","4","AÑO",2008)</f>
        <v>1203931</v>
      </c>
      <c r="I40" s="52">
        <f>GETPIVOTDATA("Suma de total z4",'[1]tabla dinámica pernocta'!$H$5,"PAIS/INDICADOR","PERNOCTACIONES","MES","4","AÑO",2008)</f>
        <v>2631948</v>
      </c>
      <c r="J40" s="52">
        <f>GETPIVOTDATA("Suma de TOTAL HOTELERO",'[1]tabla dinámica pernocta'!$H$5,"PAIS/INDICADOR","PERNOCTACIONES","MES","4","AÑO",2008)</f>
        <v>1923829</v>
      </c>
      <c r="K40" s="52">
        <f>GETPIVOTDATA("Suma de Extrahoteleros",'[1]tabla dinámica pernocta'!$H$5,"PAIS/INDICADOR","PERNOCTACIONES","MES","4","AÑO",2008)</f>
        <v>1453361</v>
      </c>
      <c r="L40" s="52">
        <f>GETPIVOTDATA("Suma de TOTAL GENERAL",'[1]tabla dinámica pernocta'!$H$5,"PAIS/INDICADOR","PERNOCTACIONES","MES","4","AÑO",2008)</f>
        <v>3377190</v>
      </c>
    </row>
    <row r="41" spans="3:12" hidden="1" outlineLevel="1">
      <c r="C41" s="51" t="s">
        <v>46</v>
      </c>
      <c r="D41" s="52">
        <f>GETPIVOTDATA("dato",'[1]tabla dinámica pernocta'!$P$5,"categoría","Hoteleros","mes",3,"año",2008)</f>
        <v>912945</v>
      </c>
      <c r="E41" s="52">
        <f>GETPIVOTDATA("dato",'[1]tabla dinámica pernocta'!$P$5,"categoría","EXTRAHOTELEROS","mes",3,"año",2008)</f>
        <v>597584</v>
      </c>
      <c r="F41" s="52">
        <f>GETPIVOTDATA("dato",'[1]tabla dinámica pernocta'!$P$5,"categoría","TOTAL","mes",3,"año",2008)</f>
        <v>1510529</v>
      </c>
      <c r="G41" s="52">
        <f>GETPIVOTDATA("Suma de hotel z4",'[1]tabla dinámica pernocta'!$H$5,"PAIS/INDICADOR","PERNOCTACIONES","MES","3","AÑO",2008)</f>
        <v>1593648</v>
      </c>
      <c r="H41" s="52">
        <f>GETPIVOTDATA("Suma de extra-h z4",'[1]tabla dinámica pernocta'!$H$5,"PAIS/INDICADOR","PERNOCTACIONES","MES","3","AÑO",2008)</f>
        <v>1567646</v>
      </c>
      <c r="I41" s="52">
        <f>GETPIVOTDATA("Suma de total z4",'[1]tabla dinámica pernocta'!$H$5,"PAIS/INDICADOR","PERNOCTACIONES","MES","3","AÑO",2008)</f>
        <v>3161294</v>
      </c>
      <c r="J41" s="52">
        <f>GETPIVOTDATA("Suma de TOTAL HOTELERO",'[1]tabla dinámica pernocta'!$H$5,"PAIS/INDICADOR","PERNOCTACIONES","MES","3","AÑO",2008)</f>
        <v>2105874</v>
      </c>
      <c r="K41" s="52">
        <f>GETPIVOTDATA("Suma de Extrahoteleros",'[1]tabla dinámica pernocta'!$H$5,"PAIS/INDICADOR","PERNOCTACIONES","MES","3","AÑO",2008)</f>
        <v>1877380</v>
      </c>
      <c r="L41" s="52">
        <f>GETPIVOTDATA("Suma de TOTAL GENERAL",'[1]tabla dinámica pernocta'!$H$5,"PAIS/INDICADOR","PERNOCTACIONES","MES","3","AÑO",2008)</f>
        <v>3983254</v>
      </c>
    </row>
    <row r="42" spans="3:12" hidden="1" outlineLevel="1">
      <c r="C42" s="51" t="s">
        <v>47</v>
      </c>
      <c r="D42" s="52">
        <f>GETPIVOTDATA("dato",'[1]tabla dinámica pernocta'!$P$5,"categoría","Hoteleros","mes",2,"año",2008)</f>
        <v>832759</v>
      </c>
      <c r="E42" s="52">
        <f>GETPIVOTDATA("dato",'[1]tabla dinámica pernocta'!$P$5,"categoría","EXTRAHOTELEROS","mes",2,"año",2008)</f>
        <v>563942</v>
      </c>
      <c r="F42" s="52">
        <f>GETPIVOTDATA("dato",'[1]tabla dinámica pernocta'!$P$5,"categoría","TOTAL","mes",2,"año",2008)</f>
        <v>1396701</v>
      </c>
      <c r="G42" s="52">
        <f>GETPIVOTDATA("Suma de hotel z4",'[1]tabla dinámica pernocta'!$H$5,"PAIS/INDICADOR","PERNOCTACIONES","MES","2","AÑO",2008)</f>
        <v>1461747</v>
      </c>
      <c r="H42" s="52">
        <f>GETPIVOTDATA("Suma de extra-h z4",'[1]tabla dinámica pernocta'!$H$5,"PAIS/INDICADOR","PERNOCTACIONES","MES","2","AÑO",2008)</f>
        <v>1504075</v>
      </c>
      <c r="I42" s="52">
        <f>GETPIVOTDATA("Suma de total z4",'[1]tabla dinámica pernocta'!$H$5,"PAIS/INDICADOR","PERNOCTACIONES","MES","2","AÑO",2008)</f>
        <v>2965822</v>
      </c>
      <c r="J42" s="52">
        <f>GETPIVOTDATA("Suma de TOTAL HOTELERO",'[1]tabla dinámica pernocta'!$H$5,"PAIS/INDICADOR","PERNOCTACIONES","MES","2","AÑO",2008)</f>
        <v>1947683</v>
      </c>
      <c r="K42" s="52">
        <f>GETPIVOTDATA("Suma de Extrahoteleros",'[1]tabla dinámica pernocta'!$H$5,"PAIS/INDICADOR","PERNOCTACIONES","MES","2","AÑO",2008)</f>
        <v>1800723</v>
      </c>
      <c r="L42" s="52">
        <f>GETPIVOTDATA("Suma de TOTAL GENERAL",'[1]tabla dinámica pernocta'!$H$5,"PAIS/INDICADOR","PERNOCTACIONES","MES","2","AÑO",2008)</f>
        <v>3748406</v>
      </c>
    </row>
    <row r="43" spans="3:12" hidden="1" outlineLevel="1">
      <c r="C43" s="51" t="s">
        <v>48</v>
      </c>
      <c r="D43" s="52">
        <f>GETPIVOTDATA("dato",'[1]tabla dinámica pernocta'!$P$5,"categoría","Hoteleros","mes",1,"año",2008)</f>
        <v>880227</v>
      </c>
      <c r="E43" s="52">
        <f>GETPIVOTDATA("dato",'[1]tabla dinámica pernocta'!$P$5,"categoría","EXTRAHOTELEROS","mes",1,"año",2008)</f>
        <v>570385</v>
      </c>
      <c r="F43" s="52">
        <f>GETPIVOTDATA("dato",'[1]tabla dinámica pernocta'!$P$5,"categoría","TOTAL","mes",1,"año",2008)</f>
        <v>1450612</v>
      </c>
      <c r="G43" s="52">
        <f>GETPIVOTDATA("Suma de hotel z4",'[1]tabla dinámica pernocta'!$H$5,"PAIS/INDICADOR","PERNOCTACIONES","MES","1","AÑO",2008)</f>
        <v>1534526</v>
      </c>
      <c r="H43" s="52">
        <f>GETPIVOTDATA("Suma de extra-h z4",'[1]tabla dinámica pernocta'!$H$5,"PAIS/INDICADOR","PERNOCTACIONES","MES","1","AÑO",2008)</f>
        <v>1484528</v>
      </c>
      <c r="I43" s="52">
        <f>GETPIVOTDATA("Suma de total z4",'[1]tabla dinámica pernocta'!$H$5,"PAIS/INDICADOR","PERNOCTACIONES","MES","1","AÑO",2008)</f>
        <v>3019054</v>
      </c>
      <c r="J43" s="52">
        <f>GETPIVOTDATA("Suma de TOTAL HOTELERO",'[1]tabla dinámica pernocta'!$H$5,"PAIS/INDICADOR","PERNOCTACIONES","MES","1","AÑO",2008)</f>
        <v>2002887</v>
      </c>
      <c r="K43" s="52">
        <f>GETPIVOTDATA("Suma de Extrahoteleros",'[1]tabla dinámica pernocta'!$H$5,"PAIS/INDICADOR","PERNOCTACIONES","MES","1","AÑO",2008)</f>
        <v>1796915</v>
      </c>
      <c r="L43" s="52">
        <f>GETPIVOTDATA("Suma de TOTAL GENERAL",'[1]tabla dinámica pernocta'!$H$5,"PAIS/INDICADOR","PERNOCTACIONES","MES","1","AÑO",2008)</f>
        <v>3799802</v>
      </c>
    </row>
    <row r="44" spans="3:12" collapsed="1">
      <c r="C44" s="134">
        <v>2008</v>
      </c>
      <c r="D44" s="59">
        <f>GETPIVOTDATA("dato",'[1]tabla dinámica pernocta'!$P$5,"categoría","Hoteleros","año",2008)</f>
        <v>9991526</v>
      </c>
      <c r="E44" s="59">
        <f>GETPIVOTDATA("dato",'[1]tabla dinámica pernocta'!$P$5,"categoría","EXTRAHOTELEROS","año",2008)</f>
        <v>6156202</v>
      </c>
      <c r="F44" s="59">
        <f>GETPIVOTDATA("dato",'[1]tabla dinámica pernocta'!$P$5,"categoría","TOTAL","año",2008)</f>
        <v>16147728</v>
      </c>
      <c r="G44" s="59">
        <f>GETPIVOTDATA("Suma de hotel z4",'[1]tabla dinámica pernocta'!$H$5,"PAIS/INDICADOR","PERNOCTACIONES","AÑO",2008)</f>
        <v>17572226</v>
      </c>
      <c r="H44" s="59">
        <f>GETPIVOTDATA("Suma de extra-h z4",'[1]tabla dinámica pernocta'!$H$5,"PAIS/INDICADOR","PERNOCTACIONES","AÑO",2008)</f>
        <v>15918604</v>
      </c>
      <c r="I44" s="59">
        <f>GETPIVOTDATA("Suma de total z4",'[1]tabla dinámica pernocta'!$H$5,"PAIS/INDICADOR","PERNOCTACIONES","AÑO",2008)</f>
        <v>33490830</v>
      </c>
      <c r="J44" s="59">
        <f>GETPIVOTDATA("Suma de TOTAL HOTELERO",'[1]tabla dinámica pernocta'!$H$5,"PAIS/INDICADOR","PERNOCTACIONES","AÑO",2008)</f>
        <v>23009399</v>
      </c>
      <c r="K44" s="59">
        <f>GETPIVOTDATA("Suma de Extrahoteleros",'[1]tabla dinámica pernocta'!$H$5,"PAIS/INDICADOR","PERNOCTACIONES","AÑO",2008)</f>
        <v>19052678</v>
      </c>
      <c r="L44" s="59">
        <f>GETPIVOTDATA("Suma de TOTAL GENERAL",'[1]tabla dinámica pernocta'!$H$5,"PAIS/INDICADOR","PERNOCTACIONES","AÑO",2008)</f>
        <v>42062077</v>
      </c>
    </row>
    <row r="45" spans="3:12" hidden="1" outlineLevel="1">
      <c r="C45" s="51" t="s">
        <v>37</v>
      </c>
      <c r="D45" s="52">
        <f>GETPIVOTDATA("dato",'[1]tabla dinámica pernocta'!$P$5,"categoría","Hoteleros","mes",12,"año",2007)</f>
        <v>816638</v>
      </c>
      <c r="E45" s="52">
        <f>GETPIVOTDATA("dato",'[1]tabla dinámica pernocta'!$P$5,"categoría","EXTRAHOTELEROS","mes",12,"año",2007)</f>
        <v>543383</v>
      </c>
      <c r="F45" s="52">
        <f>GETPIVOTDATA("dato",'[1]tabla dinámica pernocta'!$P$5,"categoría","TOTAL","mes",12,"año",2007)</f>
        <v>1360021</v>
      </c>
      <c r="G45" s="52">
        <f>GETPIVOTDATA("Suma de hotel z4",'[1]tabla dinámica pernocta'!$H$5,"PAIS/INDICADOR","PERNOCTACIONES","MES","12","AÑO",2007)</f>
        <v>1415388</v>
      </c>
      <c r="H45" s="52">
        <f>GETPIVOTDATA("Suma de extra-h z4",'[1]tabla dinámica pernocta'!$H$5,"PAIS/INDICADOR","PERNOCTACIONES","MES","12","AÑO",2007)</f>
        <v>1445539</v>
      </c>
      <c r="I45" s="52">
        <f>GETPIVOTDATA("Suma de total z4",'[1]tabla dinámica pernocta'!$H$5,"PAIS/INDICADOR","PERNOCTACIONES","MES","12","AÑO",2007)</f>
        <v>2860927</v>
      </c>
      <c r="J45" s="52">
        <f>GETPIVOTDATA("Suma de TOTAL HOTELERO",'[1]tabla dinámica pernocta'!$H$5,"PAIS/INDICADOR","PERNOCTACIONES","MES","12","AÑO",2007)</f>
        <v>1869007</v>
      </c>
      <c r="K45" s="52">
        <f>GETPIVOTDATA("Suma de Extrahoteleros",'[1]tabla dinámica pernocta'!$H$5,"PAIS/INDICADOR","PERNOCTACIONES","MES","12","AÑO",2007)</f>
        <v>1753739</v>
      </c>
      <c r="L45" s="52">
        <f>GETPIVOTDATA("Suma de TOTAL GENERAL",'[1]tabla dinámica pernocta'!$H$5,"PAIS/INDICADOR","PERNOCTACIONES","MES","12","AÑO",2007)</f>
        <v>3622746</v>
      </c>
    </row>
    <row r="46" spans="3:12" hidden="1" outlineLevel="1">
      <c r="C46" s="51" t="s">
        <v>38</v>
      </c>
      <c r="D46" s="52">
        <f>GETPIVOTDATA("dato",'[1]tabla dinámica pernocta'!$P$5,"categoría","Hoteleros","mes",11,"año",2007)</f>
        <v>841907</v>
      </c>
      <c r="E46" s="52">
        <f>GETPIVOTDATA("dato",'[1]tabla dinámica pernocta'!$P$5,"categoría","EXTRAHOTELEROS","mes",11,"año",2007)</f>
        <v>541750</v>
      </c>
      <c r="F46" s="52">
        <f>GETPIVOTDATA("dato",'[1]tabla dinámica pernocta'!$P$5,"categoría","TOTAL","mes",11,"año",2007)</f>
        <v>1383657</v>
      </c>
      <c r="G46" s="52">
        <f>GETPIVOTDATA("Suma de hotel z4",'[1]tabla dinámica pernocta'!$H$5,"PAIS/INDICADOR","PERNOCTACIONES","MES","11","AÑO",2007)</f>
        <v>1474517</v>
      </c>
      <c r="H46" s="52">
        <f>GETPIVOTDATA("Suma de extra-h z4",'[1]tabla dinámica pernocta'!$H$5,"PAIS/INDICADOR","PERNOCTACIONES","MES","11","AÑO",2007)</f>
        <v>1430501</v>
      </c>
      <c r="I46" s="52">
        <f>GETPIVOTDATA("Suma de total z4",'[1]tabla dinámica pernocta'!$H$5,"PAIS/INDICADOR","PERNOCTACIONES","MES","11","AÑO",2007)</f>
        <v>2905018</v>
      </c>
      <c r="J46" s="52">
        <f>GETPIVOTDATA("Suma de TOTAL HOTELERO",'[1]tabla dinámica pernocta'!$H$5,"PAIS/INDICADOR","PERNOCTACIONES","MES","11","AÑO",2007)</f>
        <v>1937410</v>
      </c>
      <c r="K46" s="52">
        <f>GETPIVOTDATA("Suma de Extrahoteleros",'[1]tabla dinámica pernocta'!$H$5,"PAIS/INDICADOR","PERNOCTACIONES","MES","11","AÑO",2007)</f>
        <v>1711889</v>
      </c>
      <c r="L46" s="52">
        <f>GETPIVOTDATA("Suma de TOTAL GENERAL",'[1]tabla dinámica pernocta'!$H$5,"PAIS/INDICADOR","PERNOCTACIONES","MES","11","AÑO",2007)</f>
        <v>3649299</v>
      </c>
    </row>
    <row r="47" spans="3:12" hidden="1" outlineLevel="1">
      <c r="C47" s="51" t="s">
        <v>39</v>
      </c>
      <c r="D47" s="52">
        <f>GETPIVOTDATA("dato",'[1]tabla dinámica pernocta'!$P$5,"categoría","Hoteleros","mes",10,"año",2007)</f>
        <v>854409</v>
      </c>
      <c r="E47" s="52">
        <f>GETPIVOTDATA("dato",'[1]tabla dinámica pernocta'!$P$5,"categoría","EXTRAHOTELEROS","mes",10,"año",2007)</f>
        <v>520279</v>
      </c>
      <c r="F47" s="52">
        <f>GETPIVOTDATA("dato",'[1]tabla dinámica pernocta'!$P$5,"categoría","TOTAL","mes",10,"año",2007)</f>
        <v>1374688</v>
      </c>
      <c r="G47" s="52">
        <f>GETPIVOTDATA("Suma de hotel z4",'[1]tabla dinámica pernocta'!$H$5,"PAIS/INDICADOR","PERNOCTACIONES","MES","10","AÑO",2007)</f>
        <v>1472520</v>
      </c>
      <c r="H47" s="52">
        <f>GETPIVOTDATA("Suma de extra-h z4",'[1]tabla dinámica pernocta'!$H$5,"PAIS/INDICADOR","PERNOCTACIONES","MES","10","AÑO",2007)</f>
        <v>1330555</v>
      </c>
      <c r="I47" s="52">
        <f>GETPIVOTDATA("Suma de total z4",'[1]tabla dinámica pernocta'!$H$5,"PAIS/INDICADOR","PERNOCTACIONES","MES","10","AÑO",2007)</f>
        <v>2803075</v>
      </c>
      <c r="J47" s="52">
        <f>GETPIVOTDATA("Suma de TOTAL HOTELERO",'[1]tabla dinámica pernocta'!$H$5,"PAIS/INDICADOR","PERNOCTACIONES","MES","10","AÑO",2007)</f>
        <v>1877076</v>
      </c>
      <c r="K47" s="52">
        <f>GETPIVOTDATA("Suma de Extrahoteleros",'[1]tabla dinámica pernocta'!$H$5,"PAIS/INDICADOR","PERNOCTACIONES","MES","10","AÑO",2007)</f>
        <v>1568699</v>
      </c>
      <c r="L47" s="52">
        <f>GETPIVOTDATA("Suma de TOTAL GENERAL",'[1]tabla dinámica pernocta'!$H$5,"PAIS/INDICADOR","PERNOCTACIONES","MES","10","AÑO",2007)</f>
        <v>3445775</v>
      </c>
    </row>
    <row r="48" spans="3:12" hidden="1" outlineLevel="1">
      <c r="C48" s="51" t="s">
        <v>40</v>
      </c>
      <c r="D48" s="52">
        <f>GETPIVOTDATA("dato",'[1]tabla dinámica pernocta'!$P$5,"categoría","Hoteleros","mes",9,"año",2007)</f>
        <v>799052</v>
      </c>
      <c r="E48" s="52">
        <f>GETPIVOTDATA("dato",'[1]tabla dinámica pernocta'!$P$5,"categoría","EXTRAHOTELEROS","mes",9,"año",2007)</f>
        <v>444383</v>
      </c>
      <c r="F48" s="52">
        <f>GETPIVOTDATA("dato",'[1]tabla dinámica pernocta'!$P$5,"categoría","TOTAL","mes",9,"año",2007)</f>
        <v>1243435</v>
      </c>
      <c r="G48" s="52">
        <f>GETPIVOTDATA("Suma de hotel z4",'[1]tabla dinámica pernocta'!$H$5,"PAIS/INDICADOR","PERNOCTACIONES","MES","9","AÑO",2007)</f>
        <v>1397041</v>
      </c>
      <c r="H48" s="52">
        <f>GETPIVOTDATA("Suma de extra-h z4",'[1]tabla dinámica pernocta'!$H$5,"PAIS/INDICADOR","PERNOCTACIONES","MES","9","AÑO",2007)</f>
        <v>1150450</v>
      </c>
      <c r="I48" s="52">
        <f>GETPIVOTDATA("Suma de total z4",'[1]tabla dinámica pernocta'!$H$5,"PAIS/INDICADOR","PERNOCTACIONES","MES","9","AÑO",2007)</f>
        <v>2547491</v>
      </c>
      <c r="J48" s="52">
        <f>GETPIVOTDATA("Suma de TOTAL HOTELERO",'[1]tabla dinámica pernocta'!$H$5,"PAIS/INDICADOR","PERNOCTACIONES","MES","9","AÑO",2007)</f>
        <v>1838273</v>
      </c>
      <c r="K48" s="52">
        <f>GETPIVOTDATA("Suma de Extrahoteleros",'[1]tabla dinámica pernocta'!$H$5,"PAIS/INDICADOR","PERNOCTACIONES","MES","9","AÑO",2007)</f>
        <v>1381300</v>
      </c>
      <c r="L48" s="52">
        <f>GETPIVOTDATA("Suma de TOTAL GENERAL",'[1]tabla dinámica pernocta'!$H$5,"PAIS/INDICADOR","PERNOCTACIONES","MES","9","AÑO",2007)</f>
        <v>3219573</v>
      </c>
    </row>
    <row r="49" spans="3:12" hidden="1" outlineLevel="1">
      <c r="C49" s="51" t="s">
        <v>41</v>
      </c>
      <c r="D49" s="52">
        <f>GETPIVOTDATA("dato",'[1]tabla dinámica pernocta'!$P$5,"categoría","Hoteleros","mes",8,"año",2007)</f>
        <v>984480</v>
      </c>
      <c r="E49" s="52">
        <f>GETPIVOTDATA("dato",'[1]tabla dinámica pernocta'!$P$5,"categoría","EXTRAHOTELEROS","mes",8,"año",2007)</f>
        <v>652569</v>
      </c>
      <c r="F49" s="52">
        <f>GETPIVOTDATA("dato",'[1]tabla dinámica pernocta'!$P$5,"categoría","TOTAL","mes",8,"año",2007)</f>
        <v>1637049</v>
      </c>
      <c r="G49" s="52">
        <f>GETPIVOTDATA("Suma de hotel z4",'[1]tabla dinámica pernocta'!$H$5,"PAIS/INDICADOR","PERNOCTACIONES","MES","8","AÑO",2007)</f>
        <v>1716583</v>
      </c>
      <c r="H49" s="52">
        <f>GETPIVOTDATA("Suma de extra-h z4",'[1]tabla dinámica pernocta'!$H$5,"PAIS/INDICADOR","PERNOCTACIONES","MES","8","AÑO",2007)</f>
        <v>1614287</v>
      </c>
      <c r="I49" s="52">
        <f>GETPIVOTDATA("Suma de total z4",'[1]tabla dinámica pernocta'!$H$5,"PAIS/INDICADOR","PERNOCTACIONES","MES","8","AÑO",2007)</f>
        <v>3330870</v>
      </c>
      <c r="J49" s="52">
        <f>GETPIVOTDATA("Suma de TOTAL HOTELERO",'[1]tabla dinámica pernocta'!$H$5,"PAIS/INDICADOR","PERNOCTACIONES","MES","8","AÑO",2007)</f>
        <v>2280363</v>
      </c>
      <c r="K49" s="52">
        <f>GETPIVOTDATA("Suma de Extrahoteleros",'[1]tabla dinámica pernocta'!$H$5,"PAIS/INDICADOR","PERNOCTACIONES","MES","8","AÑO",2007)</f>
        <v>1950001</v>
      </c>
      <c r="L49" s="52">
        <f>GETPIVOTDATA("Suma de TOTAL GENERAL",'[1]tabla dinámica pernocta'!$H$5,"PAIS/INDICADOR","PERNOCTACIONES","MES","8","AÑO",2007)</f>
        <v>4230364</v>
      </c>
    </row>
    <row r="50" spans="3:12" hidden="1" outlineLevel="1">
      <c r="C50" s="51" t="s">
        <v>42</v>
      </c>
      <c r="D50" s="52">
        <f>GETPIVOTDATA("dato",'[1]tabla dinámica pernocta'!$P$5,"categoría","Hoteleros","mes",7,"año",2007)</f>
        <v>890484</v>
      </c>
      <c r="E50" s="52">
        <f>GETPIVOTDATA("dato",'[1]tabla dinámica pernocta'!$P$5,"categoría","EXTRAHOTELEROS","mes",7,"año",2007)</f>
        <v>521799</v>
      </c>
      <c r="F50" s="52">
        <f>GETPIVOTDATA("dato",'[1]tabla dinámica pernocta'!$P$5,"categoría","TOTAL","mes",7,"año",2007)</f>
        <v>1412283</v>
      </c>
      <c r="G50" s="52">
        <f>GETPIVOTDATA("Suma de hotel z4",'[1]tabla dinámica pernocta'!$H$5,"PAIS/INDICADOR","PERNOCTACIONES","MES","7","AÑO",2007)</f>
        <v>1530077</v>
      </c>
      <c r="H50" s="52">
        <f>GETPIVOTDATA("Suma de extra-h z4",'[1]tabla dinámica pernocta'!$H$5,"PAIS/INDICADOR","PERNOCTACIONES","MES","7","AÑO",2007)</f>
        <v>1378945</v>
      </c>
      <c r="I50" s="52">
        <f>GETPIVOTDATA("Suma de total z4",'[1]tabla dinámica pernocta'!$H$5,"PAIS/INDICADOR","PERNOCTACIONES","MES","7","AÑO",2007)</f>
        <v>2909022</v>
      </c>
      <c r="J50" s="52">
        <f>GETPIVOTDATA("Suma de TOTAL HOTELERO",'[1]tabla dinámica pernocta'!$H$5,"PAIS/INDICADOR","PERNOCTACIONES","MES","7","AÑO",2007)</f>
        <v>2018666</v>
      </c>
      <c r="K50" s="52">
        <f>GETPIVOTDATA("Suma de Extrahoteleros",'[1]tabla dinámica pernocta'!$H$5,"PAIS/INDICADOR","PERNOCTACIONES","MES","7","AÑO",2007)</f>
        <v>1664074</v>
      </c>
      <c r="L50" s="52">
        <f>GETPIVOTDATA("Suma de TOTAL GENERAL",'[1]tabla dinámica pernocta'!$H$5,"PAIS/INDICADOR","PERNOCTACIONES","MES","7","AÑO",2007)</f>
        <v>3682740</v>
      </c>
    </row>
    <row r="51" spans="3:12" hidden="1" outlineLevel="1">
      <c r="C51" s="51" t="s">
        <v>43</v>
      </c>
      <c r="D51" s="52">
        <f>GETPIVOTDATA("dato",'[1]tabla dinámica pernocta'!$P$5,"categoría","Hoteleros","mes",6,"año",2007)</f>
        <v>699578</v>
      </c>
      <c r="E51" s="52">
        <f>GETPIVOTDATA("dato",'[1]tabla dinámica pernocta'!$P$5,"categoría","EXTRAHOTELEROS","mes",6,"año",2007)</f>
        <v>398434</v>
      </c>
      <c r="F51" s="52">
        <f>GETPIVOTDATA("dato",'[1]tabla dinámica pernocta'!$P$5,"categoría","TOTAL","mes",6,"año",2007)</f>
        <v>1098012</v>
      </c>
      <c r="G51" s="52">
        <f>GETPIVOTDATA("Suma de hotel z4",'[1]tabla dinámica pernocta'!$H$5,"PAIS/INDICADOR","PERNOCTACIONES","MES","6","AÑO",2007)</f>
        <v>1249511</v>
      </c>
      <c r="H51" s="52">
        <f>GETPIVOTDATA("Suma de extra-h z4",'[1]tabla dinámica pernocta'!$H$5,"PAIS/INDICADOR","PERNOCTACIONES","MES","6","AÑO",2007)</f>
        <v>1051533</v>
      </c>
      <c r="I51" s="52">
        <f>GETPIVOTDATA("Suma de total z4",'[1]tabla dinámica pernocta'!$H$5,"PAIS/INDICADOR","PERNOCTACIONES","MES","6","AÑO",2007)</f>
        <v>2301044</v>
      </c>
      <c r="J51" s="52">
        <f>GETPIVOTDATA("Suma de TOTAL HOTELERO",'[1]tabla dinámica pernocta'!$H$5,"PAIS/INDICADOR","PERNOCTACIONES","MES","6","AÑO",2007)</f>
        <v>1659440</v>
      </c>
      <c r="K51" s="52">
        <f>GETPIVOTDATA("Suma de Extrahoteleros",'[1]tabla dinámica pernocta'!$H$5,"PAIS/INDICADOR","PERNOCTACIONES","MES","6","AÑO",2007)</f>
        <v>1271993</v>
      </c>
      <c r="L51" s="52">
        <f>GETPIVOTDATA("Suma de TOTAL GENERAL",'[1]tabla dinámica pernocta'!$H$5,"PAIS/INDICADOR","PERNOCTACIONES","MES","6","AÑO",2007)</f>
        <v>2931433</v>
      </c>
    </row>
    <row r="52" spans="3:12" hidden="1" outlineLevel="1">
      <c r="C52" s="51" t="s">
        <v>44</v>
      </c>
      <c r="D52" s="52">
        <f>GETPIVOTDATA("dato",'[1]tabla dinámica pernocta'!$P$5,"categoría","Hoteleros","mes",5,"año",2007)</f>
        <v>632453</v>
      </c>
      <c r="E52" s="52">
        <f>GETPIVOTDATA("dato",'[1]tabla dinámica pernocta'!$P$5,"categoría","EXTRAHOTELEROS","mes",5,"año",2007)</f>
        <v>372717</v>
      </c>
      <c r="F52" s="52">
        <f>GETPIVOTDATA("dato",'[1]tabla dinámica pernocta'!$P$5,"categoría","TOTAL","mes",5,"año",2007)</f>
        <v>1005170</v>
      </c>
      <c r="G52" s="52">
        <f>GETPIVOTDATA("Suma de hotel z4",'[1]tabla dinámica pernocta'!$H$5,"PAIS/INDICADOR","PERNOCTACIONES","MES","5","AÑO",2007)</f>
        <v>1162777</v>
      </c>
      <c r="H52" s="52">
        <f>GETPIVOTDATA("Suma de extra-h z4",'[1]tabla dinámica pernocta'!$H$5,"PAIS/INDICADOR","PERNOCTACIONES","MES","5","AÑO",2007)</f>
        <v>1001690</v>
      </c>
      <c r="I52" s="52">
        <f>GETPIVOTDATA("Suma de total z4",'[1]tabla dinámica pernocta'!$H$5,"PAIS/INDICADOR","PERNOCTACIONES","MES","5","AÑO",2007)</f>
        <v>2164467</v>
      </c>
      <c r="J52" s="52">
        <f>GETPIVOTDATA("Suma de TOTAL HOTELERO",'[1]tabla dinámica pernocta'!$H$5,"PAIS/INDICADOR","PERNOCTACIONES","MES","5","AÑO",2007)</f>
        <v>1519768</v>
      </c>
      <c r="K52" s="52">
        <f>GETPIVOTDATA("Suma de Extrahoteleros",'[1]tabla dinámica pernocta'!$H$5,"PAIS/INDICADOR","PERNOCTACIONES","MES","5","AÑO",2007)</f>
        <v>1189772</v>
      </c>
      <c r="L52" s="52">
        <f>GETPIVOTDATA("Suma de TOTAL GENERAL",'[1]tabla dinámica pernocta'!$H$5,"PAIS/INDICADOR","PERNOCTACIONES","MES","5","AÑO",2007)</f>
        <v>2709540</v>
      </c>
    </row>
    <row r="53" spans="3:12" hidden="1" outlineLevel="1">
      <c r="C53" s="51" t="s">
        <v>45</v>
      </c>
      <c r="D53" s="52">
        <f>GETPIVOTDATA("dato",'[1]tabla dinámica pernocta'!$P$5,"categoría","Hoteleros","mes",4,"año",2007)</f>
        <v>793338</v>
      </c>
      <c r="E53" s="52">
        <f>GETPIVOTDATA("dato",'[1]tabla dinámica pernocta'!$P$5,"categoría","EXTRAHOTELEROS","mes",4,"año",2007)</f>
        <v>503686</v>
      </c>
      <c r="F53" s="52">
        <f>GETPIVOTDATA("dato",'[1]tabla dinámica pernocta'!$P$5,"categoría","TOTAL","mes",4,"año",2007)</f>
        <v>1297024</v>
      </c>
      <c r="G53" s="52">
        <f>GETPIVOTDATA("Suma de hotel z4",'[1]tabla dinámica pernocta'!$H$5,"PAIS/INDICADOR","PERNOCTACIONES","MES","4","AÑO",2007)</f>
        <v>1364102</v>
      </c>
      <c r="H53" s="52">
        <f>GETPIVOTDATA("Suma de extra-h z4",'[1]tabla dinámica pernocta'!$H$5,"PAIS/INDICADOR","PERNOCTACIONES","MES","4","AÑO",2007)</f>
        <v>1243098</v>
      </c>
      <c r="I53" s="52">
        <f>GETPIVOTDATA("Suma de total z4",'[1]tabla dinámica pernocta'!$H$5,"PAIS/INDICADOR","PERNOCTACIONES","MES","4","AÑO",2007)</f>
        <v>2607200</v>
      </c>
      <c r="J53" s="52">
        <f>GETPIVOTDATA("Suma de TOTAL HOTELERO",'[1]tabla dinámica pernocta'!$H$5,"PAIS/INDICADOR","PERNOCTACIONES","MES","4","AÑO",2007)</f>
        <v>1823925</v>
      </c>
      <c r="K53" s="52">
        <f>GETPIVOTDATA("Suma de Extrahoteleros",'[1]tabla dinámica pernocta'!$H$5,"PAIS/INDICADOR","PERNOCTACIONES","MES","4","AÑO",2007)</f>
        <v>1477352</v>
      </c>
      <c r="L53" s="52">
        <f>GETPIVOTDATA("Suma de TOTAL GENERAL",'[1]tabla dinámica pernocta'!$H$5,"PAIS/INDICADOR","PERNOCTACIONES","MES","4","AÑO",2007)</f>
        <v>3301277</v>
      </c>
    </row>
    <row r="54" spans="3:12" hidden="1" outlineLevel="1">
      <c r="C54" s="51" t="s">
        <v>46</v>
      </c>
      <c r="D54" s="52">
        <f>GETPIVOTDATA("dato",'[1]tabla dinámica pernocta'!$P$5,"categoría","Hoteleros","mes",3,"año",2007)</f>
        <v>818385</v>
      </c>
      <c r="E54" s="52">
        <f>GETPIVOTDATA("dato",'[1]tabla dinámica pernocta'!$P$5,"categoría","EXTRAHOTELEROS","mes",3,"año",2007)</f>
        <v>599596</v>
      </c>
      <c r="F54" s="52">
        <f>GETPIVOTDATA("dato",'[1]tabla dinámica pernocta'!$P$5,"categoría","TOTAL","mes",3,"año",2007)</f>
        <v>1417981</v>
      </c>
      <c r="G54" s="52">
        <f>GETPIVOTDATA("Suma de hotel z4",'[1]tabla dinámica pernocta'!$H$5,"PAIS/INDICADOR","PERNOCTACIONES","MES","3","AÑO",2007)</f>
        <v>1507773</v>
      </c>
      <c r="H54" s="52">
        <f>GETPIVOTDATA("Suma de extra-h z4",'[1]tabla dinámica pernocta'!$H$5,"PAIS/INDICADOR","PERNOCTACIONES","MES","3","AÑO",2007)</f>
        <v>1518391</v>
      </c>
      <c r="I54" s="52">
        <f>GETPIVOTDATA("Suma de total z4",'[1]tabla dinámica pernocta'!$H$5,"PAIS/INDICADOR","PERNOCTACIONES","MES","3","AÑO",2007)</f>
        <v>3026164</v>
      </c>
      <c r="J54" s="52">
        <f>GETPIVOTDATA("Suma de TOTAL HOTELERO",'[1]tabla dinámica pernocta'!$H$5,"PAIS/INDICADOR","PERNOCTACIONES","MES","3","AÑO",2007)</f>
        <v>2027566</v>
      </c>
      <c r="K54" s="52">
        <f>GETPIVOTDATA("Suma de Extrahoteleros",'[1]tabla dinámica pernocta'!$H$5,"PAIS/INDICADOR","PERNOCTACIONES","MES","3","AÑO",2007)</f>
        <v>1836382</v>
      </c>
      <c r="L54" s="52">
        <f>GETPIVOTDATA("Suma de TOTAL GENERAL",'[1]tabla dinámica pernocta'!$H$5,"PAIS/INDICADOR","PERNOCTACIONES","MES","3","AÑO",2007)</f>
        <v>3863948</v>
      </c>
    </row>
    <row r="55" spans="3:12" hidden="1" outlineLevel="1">
      <c r="C55" s="51" t="s">
        <v>47</v>
      </c>
      <c r="D55" s="52">
        <f>GETPIVOTDATA("dato",'[1]tabla dinámica pernocta'!$P$5,"categoría","Hoteleros","mes",2,"año",2007)</f>
        <v>745482</v>
      </c>
      <c r="E55" s="52">
        <f>GETPIVOTDATA("dato",'[1]tabla dinámica pernocta'!$P$5,"categoría","EXTRAHOTELEROS","mes",2,"año",2007)</f>
        <v>543647</v>
      </c>
      <c r="F55" s="52">
        <f>GETPIVOTDATA("dato",'[1]tabla dinámica pernocta'!$P$5,"categoría","TOTAL","mes",2,"año",2007)</f>
        <v>1289129</v>
      </c>
      <c r="G55" s="52">
        <f>GETPIVOTDATA("Suma de hotel z4",'[1]tabla dinámica pernocta'!$H$5,"PAIS/INDICADOR","PERNOCTACIONES","MES","2","AÑO",2007)</f>
        <v>1359098</v>
      </c>
      <c r="H55" s="52">
        <f>GETPIVOTDATA("Suma de extra-h z4",'[1]tabla dinámica pernocta'!$H$5,"PAIS/INDICADOR","PERNOCTACIONES","MES","2","AÑO",2007)</f>
        <v>1419242</v>
      </c>
      <c r="I55" s="52">
        <f>GETPIVOTDATA("Suma de total z4",'[1]tabla dinámica pernocta'!$H$5,"PAIS/INDICADOR","PERNOCTACIONES","MES","2","AÑO",2007)</f>
        <v>2778340</v>
      </c>
      <c r="J55" s="52">
        <f>GETPIVOTDATA("Suma de TOTAL HOTELERO",'[1]tabla dinámica pernocta'!$H$5,"PAIS/INDICADOR","PERNOCTACIONES","MES","2","AÑO",2007)</f>
        <v>1827432</v>
      </c>
      <c r="K55" s="52">
        <f>GETPIVOTDATA("Suma de Extrahoteleros",'[1]tabla dinámica pernocta'!$H$5,"PAIS/INDICADOR","PERNOCTACIONES","MES","2","AÑO",2007)</f>
        <v>1711352</v>
      </c>
      <c r="L55" s="52">
        <f>GETPIVOTDATA("Suma de TOTAL GENERAL",'[1]tabla dinámica pernocta'!$H$5,"PAIS/INDICADOR","PERNOCTACIONES","MES","2","AÑO",2007)</f>
        <v>3538784</v>
      </c>
    </row>
    <row r="56" spans="3:12" hidden="1" outlineLevel="1">
      <c r="C56" s="51" t="s">
        <v>48</v>
      </c>
      <c r="D56" s="52">
        <f>GETPIVOTDATA("dato",'[1]tabla dinámica pernocta'!$P$5,"categoría","Hoteleros","mes",1,"año",2007)</f>
        <v>829826</v>
      </c>
      <c r="E56" s="52">
        <f>GETPIVOTDATA("dato",'[1]tabla dinámica pernocta'!$P$5,"categoría","EXTRAHOTELEROS","mes",1,"año",2007)</f>
        <v>574701</v>
      </c>
      <c r="F56" s="52">
        <f>GETPIVOTDATA("dato",'[1]tabla dinámica pernocta'!$P$5,"categoría","TOTAL","mes",1,"año",2007)</f>
        <v>1404527</v>
      </c>
      <c r="G56" s="52">
        <f>GETPIVOTDATA("Suma de hotel z4",'[1]tabla dinámica pernocta'!$H$5,"PAIS/INDICADOR","PERNOCTACIONES","MES","1","AÑO",2007)</f>
        <v>1502469</v>
      </c>
      <c r="H56" s="52">
        <f>GETPIVOTDATA("Suma de extra-h z4",'[1]tabla dinámica pernocta'!$H$5,"PAIS/INDICADOR","PERNOCTACIONES","MES","1","AÑO",2007)</f>
        <v>1458712</v>
      </c>
      <c r="I56" s="52">
        <f>GETPIVOTDATA("Suma de total z4",'[1]tabla dinámica pernocta'!$H$5,"PAIS/INDICADOR","PERNOCTACIONES","MES","1","AÑO",2007)</f>
        <v>2961181</v>
      </c>
      <c r="J56" s="52">
        <f>GETPIVOTDATA("Suma de TOTAL HOTELERO",'[1]tabla dinámica pernocta'!$H$5,"PAIS/INDICADOR","PERNOCTACIONES","MES","1","AÑO",2007)</f>
        <v>1973306</v>
      </c>
      <c r="K56" s="52">
        <f>GETPIVOTDATA("Suma de Extrahoteleros",'[1]tabla dinámica pernocta'!$H$5,"PAIS/INDICADOR","PERNOCTACIONES","MES","1","AÑO",2007)</f>
        <v>1770317</v>
      </c>
      <c r="L56" s="52">
        <f>GETPIVOTDATA("Suma de TOTAL GENERAL",'[1]tabla dinámica pernocta'!$H$5,"PAIS/INDICADOR","PERNOCTACIONES","MES","1","AÑO",2007)</f>
        <v>3743623</v>
      </c>
    </row>
    <row r="57" spans="3:12" collapsed="1">
      <c r="C57" s="134">
        <v>2007</v>
      </c>
      <c r="D57" s="59">
        <f>GETPIVOTDATA("dato",'[1]tabla dinámica pernocta'!$P$5,"categoría","Hoteleros","año",2007)</f>
        <v>9706032</v>
      </c>
      <c r="E57" s="59">
        <f>GETPIVOTDATA("dato",'[1]tabla dinámica pernocta'!$P$5,"categoría","EXTRAHOTELEROS","año",2007)</f>
        <v>6216944</v>
      </c>
      <c r="F57" s="59">
        <f>GETPIVOTDATA("dato",'[1]tabla dinámica pernocta'!$P$5,"categoría","TOTAL","año",2007)</f>
        <v>15922976</v>
      </c>
      <c r="G57" s="59">
        <f>GETPIVOTDATA("Suma de hotel z4",'[1]tabla dinámica pernocta'!$H$5,"PAIS/INDICADOR","PERNOCTACIONES","AÑO",2007)</f>
        <v>17151856</v>
      </c>
      <c r="H57" s="59">
        <f>GETPIVOTDATA("Suma de extra-h z4",'[1]tabla dinámica pernocta'!$H$5,"PAIS/INDICADOR","PERNOCTACIONES","AÑO",2007)</f>
        <v>16042943</v>
      </c>
      <c r="I57" s="59">
        <f>GETPIVOTDATA("Suma de total z4",'[1]tabla dinámica pernocta'!$H$5,"PAIS/INDICADOR","PERNOCTACIONES","AÑO",2007)</f>
        <v>33194799</v>
      </c>
      <c r="J57" s="59">
        <f>GETPIVOTDATA("Suma de TOTAL HOTELERO",'[1]tabla dinámica pernocta'!$H$5,"PAIS/INDICADOR","PERNOCTACIONES","AÑO",2007)</f>
        <v>22652232</v>
      </c>
      <c r="K57" s="59">
        <f>GETPIVOTDATA("Suma de Extrahoteleros",'[1]tabla dinámica pernocta'!$H$5,"PAIS/INDICADOR","PERNOCTACIONES","AÑO",2007)</f>
        <v>19286870</v>
      </c>
      <c r="L57" s="59">
        <f>GETPIVOTDATA("Suma de TOTAL GENERAL",'[1]tabla dinámica pernocta'!$H$5,"PAIS/INDICADOR","PERNOCTACIONES","AÑO",2007)</f>
        <v>41939102</v>
      </c>
    </row>
    <row r="58" spans="3:12" hidden="1" outlineLevel="1">
      <c r="C58" s="51" t="s">
        <v>37</v>
      </c>
      <c r="D58" s="52">
        <f>GETPIVOTDATA("dato",'[1]tabla dinámica pernocta'!$P$5,"categoría","Hoteleros","mes",12,"año",2006)</f>
        <v>781906</v>
      </c>
      <c r="E58" s="52">
        <f>GETPIVOTDATA("dato",'[1]tabla dinámica pernocta'!$P$5,"categoría","EXTRAHOTELEROS","mes",12,"año",2006)</f>
        <v>529367</v>
      </c>
      <c r="F58" s="52">
        <f>GETPIVOTDATA("dato",'[1]tabla dinámica pernocta'!$P$5,"categoría","TOTAL","mes",12,"año",2006)</f>
        <v>1311273</v>
      </c>
      <c r="G58" s="52">
        <f>GETPIVOTDATA("Suma de hotel z4",'[1]tabla dinámica pernocta'!$H$5,"PAIS/INDICADOR","PERNOCTACIONES","MES","12","AÑO",2006)</f>
        <v>1414867</v>
      </c>
      <c r="H58" s="52">
        <f>GETPIVOTDATA("Suma de extra-h z4",'[1]tabla dinámica pernocta'!$H$5,"PAIS/INDICADOR","PERNOCTACIONES","MES","12","AÑO",2006)</f>
        <v>1419873</v>
      </c>
      <c r="I58" s="52">
        <f>GETPIVOTDATA("Suma de total z4",'[1]tabla dinámica pernocta'!$H$5,"PAIS/INDICADOR","PERNOCTACIONES","MES","12","AÑO",2006)</f>
        <v>2834740</v>
      </c>
      <c r="J58" s="52">
        <f>GETPIVOTDATA("Suma de TOTAL HOTELERO",'[1]tabla dinámica pernocta'!$H$5,"PAIS/INDICADOR","PERNOCTACIONES","MES","12","AÑO",2006)</f>
        <v>1865255</v>
      </c>
      <c r="K58" s="52">
        <f>GETPIVOTDATA("Suma de Extrahoteleros",'[1]tabla dinámica pernocta'!$H$5,"PAIS/INDICADOR","PERNOCTACIONES","MES","12","AÑO",2006)</f>
        <v>1719381</v>
      </c>
      <c r="L58" s="52">
        <f>GETPIVOTDATA("Suma de TOTAL GENERAL",'[1]tabla dinámica pernocta'!$H$5,"PAIS/INDICADOR","PERNOCTACIONES","MES","12","AÑO",2006)</f>
        <v>3584636</v>
      </c>
    </row>
    <row r="59" spans="3:12" hidden="1" outlineLevel="1">
      <c r="C59" s="51" t="s">
        <v>38</v>
      </c>
      <c r="D59" s="52">
        <f>GETPIVOTDATA("dato",'[1]tabla dinámica pernocta'!$P$5,"categoría","Hoteleros","mes",11,"año",2006)</f>
        <v>802387</v>
      </c>
      <c r="E59" s="52">
        <f>GETPIVOTDATA("dato",'[1]tabla dinámica pernocta'!$P$5,"categoría","EXTRAHOTELEROS","mes",11,"año",2006)</f>
        <v>522245</v>
      </c>
      <c r="F59" s="52">
        <f>GETPIVOTDATA("dato",'[1]tabla dinámica pernocta'!$P$5,"categoría","TOTAL","mes",11,"año",2006)</f>
        <v>1324632</v>
      </c>
      <c r="G59" s="52">
        <f>GETPIVOTDATA("Suma de hotel z4",'[1]tabla dinámica pernocta'!$H$5,"PAIS/INDICADOR","PERNOCTACIONES","MES","11","AÑO",2006)</f>
        <v>1411218</v>
      </c>
      <c r="H59" s="52">
        <f>GETPIVOTDATA("Suma de extra-h z4",'[1]tabla dinámica pernocta'!$H$5,"PAIS/INDICADOR","PERNOCTACIONES","MES","11","AÑO",2006)</f>
        <v>1421431</v>
      </c>
      <c r="I59" s="52">
        <f>GETPIVOTDATA("Suma de total z4",'[1]tabla dinámica pernocta'!$H$5,"PAIS/INDICADOR","PERNOCTACIONES","MES","11","AÑO",2006)</f>
        <v>2832649</v>
      </c>
      <c r="J59" s="52">
        <f>GETPIVOTDATA("Suma de TOTAL HOTELERO",'[1]tabla dinámica pernocta'!$H$5,"PAIS/INDICADOR","PERNOCTACIONES","MES","11","AÑO",2006)</f>
        <v>1880839</v>
      </c>
      <c r="K59" s="52">
        <f>GETPIVOTDATA("Suma de Extrahoteleros",'[1]tabla dinámica pernocta'!$H$5,"PAIS/INDICADOR","PERNOCTACIONES","MES","11","AÑO",2006)</f>
        <v>1705102</v>
      </c>
      <c r="L59" s="52">
        <f>GETPIVOTDATA("Suma de TOTAL GENERAL",'[1]tabla dinámica pernocta'!$H$5,"PAIS/INDICADOR","PERNOCTACIONES","MES","11","AÑO",2006)</f>
        <v>3585941</v>
      </c>
    </row>
    <row r="60" spans="3:12" hidden="1" outlineLevel="1">
      <c r="C60" s="51" t="s">
        <v>39</v>
      </c>
      <c r="D60" s="52">
        <f>GETPIVOTDATA("dato",'[1]tabla dinámica pernocta'!$P$5,"categoría","Hoteleros","mes",10,"año",2006)</f>
        <v>871862</v>
      </c>
      <c r="E60" s="52">
        <f>GETPIVOTDATA("dato",'[1]tabla dinámica pernocta'!$P$5,"categoría","EXTRAHOTELEROS","mes",10,"año",2006)</f>
        <v>535118</v>
      </c>
      <c r="F60" s="52">
        <f>GETPIVOTDATA("dato",'[1]tabla dinámica pernocta'!$P$5,"categoría","TOTAL","mes",10,"año",2006)</f>
        <v>1406980</v>
      </c>
      <c r="G60" s="52">
        <f>GETPIVOTDATA("Suma de hotel z4",'[1]tabla dinámica pernocta'!$H$5,"PAIS/INDICADOR","PERNOCTACIONES","MES","10","AÑO",2006)</f>
        <v>1528328</v>
      </c>
      <c r="H60" s="52">
        <f>GETPIVOTDATA("Suma de extra-h z4",'[1]tabla dinámica pernocta'!$H$5,"PAIS/INDICADOR","PERNOCTACIONES","MES","10","AÑO",2006)</f>
        <v>1472029</v>
      </c>
      <c r="I60" s="52">
        <f>GETPIVOTDATA("Suma de total z4",'[1]tabla dinámica pernocta'!$H$5,"PAIS/INDICADOR","PERNOCTACIONES","MES","10","AÑO",2006)</f>
        <v>3000357</v>
      </c>
      <c r="J60" s="52">
        <f>GETPIVOTDATA("Suma de TOTAL HOTELERO",'[1]tabla dinámica pernocta'!$H$5,"PAIS/INDICADOR","PERNOCTACIONES","MES","10","AÑO",2006)</f>
        <v>1978651</v>
      </c>
      <c r="K60" s="52">
        <f>GETPIVOTDATA("Suma de Extrahoteleros",'[1]tabla dinámica pernocta'!$H$5,"PAIS/INDICADOR","PERNOCTACIONES","MES","10","AÑO",2006)</f>
        <v>1709972</v>
      </c>
      <c r="L60" s="52">
        <f>GETPIVOTDATA("Suma de TOTAL GENERAL",'[1]tabla dinámica pernocta'!$H$5,"PAIS/INDICADOR","PERNOCTACIONES","MES","10","AÑO",2006)</f>
        <v>3688623</v>
      </c>
    </row>
    <row r="61" spans="3:12" hidden="1" outlineLevel="1">
      <c r="C61" s="51" t="s">
        <v>40</v>
      </c>
      <c r="D61" s="52">
        <f>GETPIVOTDATA("dato",'[1]tabla dinámica pernocta'!$P$5,"categoría","Hoteleros","mes",9,"año",2006)</f>
        <v>819408</v>
      </c>
      <c r="E61" s="52">
        <f>GETPIVOTDATA("dato",'[1]tabla dinámica pernocta'!$P$5,"categoría","EXTRAHOTELEROS","mes",9,"año",2006)</f>
        <v>497572</v>
      </c>
      <c r="F61" s="52">
        <f>GETPIVOTDATA("dato",'[1]tabla dinámica pernocta'!$P$5,"categoría","TOTAL","mes",9,"año",2006)</f>
        <v>1316980</v>
      </c>
      <c r="G61" s="52">
        <f>GETPIVOTDATA("Suma de hotel z4",'[1]tabla dinámica pernocta'!$H$5,"PAIS/INDICADOR","PERNOCTACIONES","MES","9","AÑO",2006)</f>
        <v>1434556</v>
      </c>
      <c r="H61" s="52">
        <f>GETPIVOTDATA("Suma de extra-h z4",'[1]tabla dinámica pernocta'!$H$5,"PAIS/INDICADOR","PERNOCTACIONES","MES","9","AÑO",2006)</f>
        <v>1307909</v>
      </c>
      <c r="I61" s="52">
        <f>GETPIVOTDATA("Suma de total z4",'[1]tabla dinámica pernocta'!$H$5,"PAIS/INDICADOR","PERNOCTACIONES","MES","9","AÑO",2006)</f>
        <v>2742465</v>
      </c>
      <c r="J61" s="52">
        <f>GETPIVOTDATA("Suma de TOTAL HOTELERO",'[1]tabla dinámica pernocta'!$H$5,"PAIS/INDICADOR","PERNOCTACIONES","MES","9","AÑO",2006)</f>
        <v>1930805</v>
      </c>
      <c r="K61" s="52">
        <f>GETPIVOTDATA("Suma de Extrahoteleros",'[1]tabla dinámica pernocta'!$H$5,"PAIS/INDICADOR","PERNOCTACIONES","MES","9","AÑO",2006)</f>
        <v>1556414</v>
      </c>
      <c r="L61" s="52">
        <f>GETPIVOTDATA("Suma de TOTAL GENERAL",'[1]tabla dinámica pernocta'!$H$5,"PAIS/INDICADOR","PERNOCTACIONES","MES","9","AÑO",2006)</f>
        <v>3487219</v>
      </c>
    </row>
    <row r="62" spans="3:12" hidden="1" outlineLevel="1">
      <c r="C62" s="51" t="s">
        <v>41</v>
      </c>
      <c r="D62" s="52">
        <f>GETPIVOTDATA("dato",'[1]tabla dinámica pernocta'!$P$5,"categoría","Hoteleros","mes",8,"año",2006)</f>
        <v>1019831</v>
      </c>
      <c r="E62" s="52">
        <f>GETPIVOTDATA("dato",'[1]tabla dinámica pernocta'!$P$5,"categoría","EXTRAHOTELEROS","mes",8,"año",2006)</f>
        <v>715256</v>
      </c>
      <c r="F62" s="52">
        <f>GETPIVOTDATA("dato",'[1]tabla dinámica pernocta'!$P$5,"categoría","TOTAL","mes",8,"año",2006)</f>
        <v>1735087</v>
      </c>
      <c r="G62" s="52">
        <f>GETPIVOTDATA("Suma de hotel z4",'[1]tabla dinámica pernocta'!$H$5,"PAIS/INDICADOR","PERNOCTACIONES","MES","8","AÑO",2006)</f>
        <v>1778712</v>
      </c>
      <c r="H62" s="52">
        <f>GETPIVOTDATA("Suma de extra-h z4",'[1]tabla dinámica pernocta'!$H$5,"PAIS/INDICADOR","PERNOCTACIONES","MES","8","AÑO",2006)</f>
        <v>1846237</v>
      </c>
      <c r="I62" s="52">
        <f>GETPIVOTDATA("Suma de total z4",'[1]tabla dinámica pernocta'!$H$5,"PAIS/INDICADOR","PERNOCTACIONES","MES","8","AÑO",2006)</f>
        <v>3624949</v>
      </c>
      <c r="J62" s="52">
        <f>GETPIVOTDATA("Suma de TOTAL HOTELERO",'[1]tabla dinámica pernocta'!$H$5,"PAIS/INDICADOR","PERNOCTACIONES","MES","8","AÑO",2006)</f>
        <v>2362959</v>
      </c>
      <c r="K62" s="52">
        <f>GETPIVOTDATA("Suma de Extrahoteleros",'[1]tabla dinámica pernocta'!$H$5,"PAIS/INDICADOR","PERNOCTACIONES","MES","8","AÑO",2006)</f>
        <v>2184766</v>
      </c>
      <c r="L62" s="52">
        <f>GETPIVOTDATA("Suma de TOTAL GENERAL",'[1]tabla dinámica pernocta'!$H$5,"PAIS/INDICADOR","PERNOCTACIONES","MES","8","AÑO",2006)</f>
        <v>4547725</v>
      </c>
    </row>
    <row r="63" spans="3:12" hidden="1" outlineLevel="1">
      <c r="C63" s="51" t="s">
        <v>42</v>
      </c>
      <c r="D63" s="52">
        <f>GETPIVOTDATA("dato",'[1]tabla dinámica pernocta'!$P$5,"categoría","Hoteleros","mes",7,"año",2006)</f>
        <v>920804</v>
      </c>
      <c r="E63" s="52">
        <f>GETPIVOTDATA("dato",'[1]tabla dinámica pernocta'!$P$5,"categoría","EXTRAHOTELEROS","mes",7,"año",2006)</f>
        <v>606394</v>
      </c>
      <c r="F63" s="52">
        <f>GETPIVOTDATA("dato",'[1]tabla dinámica pernocta'!$P$5,"categoría","TOTAL","mes",7,"año",2006)</f>
        <v>1527198</v>
      </c>
      <c r="G63" s="52">
        <f>GETPIVOTDATA("Suma de hotel z4",'[1]tabla dinámica pernocta'!$H$5,"PAIS/INDICADOR","PERNOCTACIONES","MES","7","AÑO",2006)</f>
        <v>1615756</v>
      </c>
      <c r="H63" s="52">
        <f>GETPIVOTDATA("Suma de extra-h z4",'[1]tabla dinámica pernocta'!$H$5,"PAIS/INDICADOR","PERNOCTACIONES","MES","7","AÑO",2006)</f>
        <v>1575652</v>
      </c>
      <c r="I63" s="52">
        <f>GETPIVOTDATA("Suma de total z4",'[1]tabla dinámica pernocta'!$H$5,"PAIS/INDICADOR","PERNOCTACIONES","MES","7","AÑO",2006)</f>
        <v>3191408</v>
      </c>
      <c r="J63" s="52">
        <f>GETPIVOTDATA("Suma de TOTAL HOTELERO",'[1]tabla dinámica pernocta'!$H$5,"PAIS/INDICADOR","PERNOCTACIONES","MES","7","AÑO",2006)</f>
        <v>2156068</v>
      </c>
      <c r="K63" s="52">
        <f>GETPIVOTDATA("Suma de Extrahoteleros",'[1]tabla dinámica pernocta'!$H$5,"PAIS/INDICADOR","PERNOCTACIONES","MES","7","AÑO",2006)</f>
        <v>1872001</v>
      </c>
      <c r="L63" s="52">
        <f>GETPIVOTDATA("Suma de TOTAL GENERAL",'[1]tabla dinámica pernocta'!$H$5,"PAIS/INDICADOR","PERNOCTACIONES","MES","7","AÑO",2006)</f>
        <v>4028069</v>
      </c>
    </row>
    <row r="64" spans="3:12" hidden="1" outlineLevel="1">
      <c r="C64" s="51" t="s">
        <v>43</v>
      </c>
      <c r="D64" s="52">
        <f>GETPIVOTDATA("dato",'[1]tabla dinámica pernocta'!$P$5,"categoría","Hoteleros","mes",6,"año",2006)</f>
        <v>752569</v>
      </c>
      <c r="E64" s="52">
        <f>GETPIVOTDATA("dato",'[1]tabla dinámica pernocta'!$P$5,"categoría","EXTRAHOTELEROS","mes",6,"año",2006)</f>
        <v>448442</v>
      </c>
      <c r="F64" s="52">
        <f>GETPIVOTDATA("dato",'[1]tabla dinámica pernocta'!$P$5,"categoría","TOTAL","mes",6,"año",2006)</f>
        <v>1201011</v>
      </c>
      <c r="G64" s="52">
        <f>GETPIVOTDATA("Suma de hotel z4",'[1]tabla dinámica pernocta'!$H$5,"PAIS/INDICADOR","PERNOCTACIONES","MES","6","AÑO",2006)</f>
        <v>1349471</v>
      </c>
      <c r="H64" s="52">
        <f>GETPIVOTDATA("Suma de extra-h z4",'[1]tabla dinámica pernocta'!$H$5,"PAIS/INDICADOR","PERNOCTACIONES","MES","6","AÑO",2006)</f>
        <v>1179094</v>
      </c>
      <c r="I64" s="52">
        <f>GETPIVOTDATA("Suma de total z4",'[1]tabla dinámica pernocta'!$H$5,"PAIS/INDICADOR","PERNOCTACIONES","MES","6","AÑO",2006)</f>
        <v>2528565</v>
      </c>
      <c r="J64" s="52">
        <f>GETPIVOTDATA("Suma de TOTAL HOTELERO",'[1]tabla dinámica pernocta'!$H$5,"PAIS/INDICADOR","PERNOCTACIONES","MES","6","AÑO",2006)</f>
        <v>1791427</v>
      </c>
      <c r="K64" s="52">
        <f>GETPIVOTDATA("Suma de Extrahoteleros",'[1]tabla dinámica pernocta'!$H$5,"PAIS/INDICADOR","PERNOCTACIONES","MES","6","AÑO",2006)</f>
        <v>1394601</v>
      </c>
      <c r="L64" s="52">
        <f>GETPIVOTDATA("Suma de TOTAL GENERAL",'[1]tabla dinámica pernocta'!$H$5,"PAIS/INDICADOR","PERNOCTACIONES","MES","6","AÑO",2006)</f>
        <v>3186028</v>
      </c>
    </row>
    <row r="65" spans="3:12" hidden="1" outlineLevel="1">
      <c r="C65" s="51" t="s">
        <v>44</v>
      </c>
      <c r="D65" s="52">
        <f>GETPIVOTDATA("dato",'[1]tabla dinámica pernocta'!$P$5,"categoría","Hoteleros","mes",5,"año",2006)</f>
        <v>712532</v>
      </c>
      <c r="E65" s="52">
        <f>GETPIVOTDATA("dato",'[1]tabla dinámica pernocta'!$P$5,"categoría","EXTRAHOTELEROS","mes",5,"año",2006)</f>
        <v>417400</v>
      </c>
      <c r="F65" s="52">
        <f>GETPIVOTDATA("dato",'[1]tabla dinámica pernocta'!$P$5,"categoría","TOTAL","mes",5,"año",2006)</f>
        <v>1129932</v>
      </c>
      <c r="G65" s="52">
        <f>GETPIVOTDATA("Suma de hotel z4",'[1]tabla dinámica pernocta'!$H$5,"PAIS/INDICADOR","PERNOCTACIONES","MES","5","AÑO",2006)</f>
        <v>1275838</v>
      </c>
      <c r="H65" s="52">
        <f>GETPIVOTDATA("Suma de extra-h z4",'[1]tabla dinámica pernocta'!$H$5,"PAIS/INDICADOR","PERNOCTACIONES","MES","5","AÑO",2006)</f>
        <v>1097073</v>
      </c>
      <c r="I65" s="52">
        <f>GETPIVOTDATA("Suma de total z4",'[1]tabla dinámica pernocta'!$H$5,"PAIS/INDICADOR","PERNOCTACIONES","MES","5","AÑO",2006)</f>
        <v>2372911</v>
      </c>
      <c r="J65" s="52">
        <f>GETPIVOTDATA("Suma de TOTAL HOTELERO",'[1]tabla dinámica pernocta'!$H$5,"PAIS/INDICADOR","PERNOCTACIONES","MES","5","AÑO",2006)</f>
        <v>1706910</v>
      </c>
      <c r="K65" s="52">
        <f>GETPIVOTDATA("Suma de Extrahoteleros",'[1]tabla dinámica pernocta'!$H$5,"PAIS/INDICADOR","PERNOCTACIONES","MES","5","AÑO",2006)</f>
        <v>1282619</v>
      </c>
      <c r="L65" s="52">
        <f>GETPIVOTDATA("Suma de TOTAL GENERAL",'[1]tabla dinámica pernocta'!$H$5,"PAIS/INDICADOR","PERNOCTACIONES","MES","5","AÑO",2006)</f>
        <v>2989529</v>
      </c>
    </row>
    <row r="66" spans="3:12" hidden="1" outlineLevel="1">
      <c r="C66" s="51" t="s">
        <v>45</v>
      </c>
      <c r="D66" s="52">
        <f>GETPIVOTDATA("dato",'[1]tabla dinámica pernocta'!$P$5,"categoría","Hoteleros","mes",4,"año",2006)</f>
        <v>852009</v>
      </c>
      <c r="E66" s="52">
        <f>GETPIVOTDATA("dato",'[1]tabla dinámica pernocta'!$P$5,"categoría","EXTRAHOTELEROS","mes",4,"año",2006)</f>
        <v>553496</v>
      </c>
      <c r="F66" s="52">
        <f>GETPIVOTDATA("dato",'[1]tabla dinámica pernocta'!$P$5,"categoría","TOTAL","mes",4,"año",2006)</f>
        <v>1405505</v>
      </c>
      <c r="G66" s="52">
        <f>GETPIVOTDATA("Suma de hotel z4",'[1]tabla dinámica pernocta'!$H$5,"PAIS/INDICADOR","PERNOCTACIONES","MES","4","AÑO",2006)</f>
        <v>1485913</v>
      </c>
      <c r="H66" s="52">
        <f>GETPIVOTDATA("Suma de extra-h z4",'[1]tabla dinámica pernocta'!$H$5,"PAIS/INDICADOR","PERNOCTACIONES","MES","4","AÑO",2006)</f>
        <v>1381352</v>
      </c>
      <c r="I66" s="52">
        <f>GETPIVOTDATA("Suma de total z4",'[1]tabla dinámica pernocta'!$H$5,"PAIS/INDICADOR","PERNOCTACIONES","MES","4","AÑO",2006)</f>
        <v>2867265</v>
      </c>
      <c r="J66" s="52">
        <f>GETPIVOTDATA("Suma de TOTAL HOTELERO",'[1]tabla dinámica pernocta'!$H$5,"PAIS/INDICADOR","PERNOCTACIONES","MES","4","AÑO",2006)</f>
        <v>1939020</v>
      </c>
      <c r="K66" s="52">
        <f>GETPIVOTDATA("Suma de Extrahoteleros",'[1]tabla dinámica pernocta'!$H$5,"PAIS/INDICADOR","PERNOCTACIONES","MES","4","AÑO",2006)</f>
        <v>1644781</v>
      </c>
      <c r="L66" s="52">
        <f>GETPIVOTDATA("Suma de TOTAL GENERAL",'[1]tabla dinámica pernocta'!$H$5,"PAIS/INDICADOR","PERNOCTACIONES","MES","4","AÑO",2006)</f>
        <v>3583801</v>
      </c>
    </row>
    <row r="67" spans="3:12" hidden="1" outlineLevel="1">
      <c r="C67" s="51" t="s">
        <v>46</v>
      </c>
      <c r="D67" s="52">
        <f>GETPIVOTDATA("dato",'[1]tabla dinámica pernocta'!$P$5,"categoría","Hoteleros","mes",3,"año",2006)</f>
        <v>840756</v>
      </c>
      <c r="E67" s="52">
        <f>GETPIVOTDATA("dato",'[1]tabla dinámica pernocta'!$P$5,"categoría","EXTRAHOTELEROS","mes",3,"año",2006)</f>
        <v>597888</v>
      </c>
      <c r="F67" s="52">
        <f>GETPIVOTDATA("dato",'[1]tabla dinámica pernocta'!$P$5,"categoría","TOTAL","mes",3,"año",2006)</f>
        <v>1438644</v>
      </c>
      <c r="G67" s="52">
        <f>GETPIVOTDATA("Suma de hotel z4",'[1]tabla dinámica pernocta'!$H$5,"PAIS/INDICADOR","PERNOCTACIONES","MES","3","AÑO",2006)</f>
        <v>1506477</v>
      </c>
      <c r="H67" s="52">
        <f>GETPIVOTDATA("Suma de extra-h z4",'[1]tabla dinámica pernocta'!$H$5,"PAIS/INDICADOR","PERNOCTACIONES","MES","3","AÑO",2006)</f>
        <v>1528673</v>
      </c>
      <c r="I67" s="52">
        <f>GETPIVOTDATA("Suma de total z4",'[1]tabla dinámica pernocta'!$H$5,"PAIS/INDICADOR","PERNOCTACIONES","MES","3","AÑO",2006)</f>
        <v>3035150</v>
      </c>
      <c r="J67" s="52">
        <f>GETPIVOTDATA("Suma de TOTAL HOTELERO",'[1]tabla dinámica pernocta'!$H$5,"PAIS/INDICADOR","PERNOCTACIONES","MES","3","AÑO",2006)</f>
        <v>2022679</v>
      </c>
      <c r="K67" s="52">
        <f>GETPIVOTDATA("Suma de Extrahoteleros",'[1]tabla dinámica pernocta'!$H$5,"PAIS/INDICADOR","PERNOCTACIONES","MES","3","AÑO",2006)</f>
        <v>1847245</v>
      </c>
      <c r="L67" s="52">
        <f>GETPIVOTDATA("Suma de TOTAL GENERAL",'[1]tabla dinámica pernocta'!$H$5,"PAIS/INDICADOR","PERNOCTACIONES","MES","3","AÑO",2006)</f>
        <v>3869924</v>
      </c>
    </row>
    <row r="68" spans="3:12" hidden="1" outlineLevel="1">
      <c r="C68" s="51" t="s">
        <v>47</v>
      </c>
      <c r="D68" s="52">
        <f>GETPIVOTDATA("dato",'[1]tabla dinámica pernocta'!$P$5,"categoría","Hoteleros","mes",2,"año",2006)</f>
        <v>763580</v>
      </c>
      <c r="E68" s="52">
        <f>GETPIVOTDATA("dato",'[1]tabla dinámica pernocta'!$P$5,"categoría","EXTRAHOTELEROS","mes",2,"año",2006)</f>
        <v>560282</v>
      </c>
      <c r="F68" s="52">
        <f>GETPIVOTDATA("dato",'[1]tabla dinámica pernocta'!$P$5,"categoría","TOTAL","mes",2,"año",2006)</f>
        <v>1323862</v>
      </c>
      <c r="G68" s="52">
        <f>GETPIVOTDATA("Suma de hotel z4",'[1]tabla dinámica pernocta'!$H$5,"PAIS/INDICADOR","PERNOCTACIONES","MES","2","AÑO",2006)</f>
        <v>1349954</v>
      </c>
      <c r="H68" s="52">
        <f>GETPIVOTDATA("Suma de extra-h z4",'[1]tabla dinámica pernocta'!$H$5,"PAIS/INDICADOR","PERNOCTACIONES","MES","2","AÑO",2006)</f>
        <v>1458277</v>
      </c>
      <c r="I68" s="52">
        <f>GETPIVOTDATA("Suma de total z4",'[1]tabla dinámica pernocta'!$H$5,"PAIS/INDICADOR","PERNOCTACIONES","MES","2","AÑO",2006)</f>
        <v>2808231</v>
      </c>
      <c r="J68" s="52">
        <f>GETPIVOTDATA("Suma de TOTAL HOTELERO",'[1]tabla dinámica pernocta'!$H$5,"PAIS/INDICADOR","PERNOCTACIONES","MES","2","AÑO",2006)</f>
        <v>1814387</v>
      </c>
      <c r="K68" s="52">
        <f>GETPIVOTDATA("Suma de Extrahoteleros",'[1]tabla dinámica pernocta'!$H$5,"PAIS/INDICADOR","PERNOCTACIONES","MES","2","AÑO",2006)</f>
        <v>1760280</v>
      </c>
      <c r="L68" s="52">
        <f>GETPIVOTDATA("Suma de TOTAL GENERAL",'[1]tabla dinámica pernocta'!$H$5,"PAIS/INDICADOR","PERNOCTACIONES","MES","2","AÑO",2006)</f>
        <v>3574667</v>
      </c>
    </row>
    <row r="69" spans="3:12" hidden="1" outlineLevel="1">
      <c r="C69" s="51" t="s">
        <v>48</v>
      </c>
      <c r="D69" s="52">
        <f>GETPIVOTDATA("dato",'[1]tabla dinámica pernocta'!$P$5,"categoría","Hoteleros","mes",1,"año",2006)</f>
        <v>866469</v>
      </c>
      <c r="E69" s="52">
        <f>GETPIVOTDATA("dato",'[1]tabla dinámica pernocta'!$P$5,"categoría","EXTRAHOTELEROS","mes",1,"año",2006)</f>
        <v>597814</v>
      </c>
      <c r="F69" s="52">
        <f>GETPIVOTDATA("dato",'[1]tabla dinámica pernocta'!$P$5,"categoría","TOTAL","mes",1,"año",2006)</f>
        <v>1464283</v>
      </c>
      <c r="G69" s="52">
        <f>GETPIVOTDATA("Suma de hotel z4",'[1]tabla dinámica pernocta'!$H$5,"PAIS/INDICADOR","PERNOCTACIONES","MES","1","AÑO",2006)</f>
        <v>1505639</v>
      </c>
      <c r="H69" s="52">
        <f>GETPIVOTDATA("Suma de extra-h z4",'[1]tabla dinámica pernocta'!$H$5,"PAIS/INDICADOR","PERNOCTACIONES","MES","1","AÑO",2006)</f>
        <v>1505125</v>
      </c>
      <c r="I69" s="52">
        <f>GETPIVOTDATA("Suma de total z4",'[1]tabla dinámica pernocta'!$H$5,"PAIS/INDICADOR","PERNOCTACIONES","MES","1","AÑO",2006)</f>
        <v>3010764</v>
      </c>
      <c r="J69" s="52">
        <f>GETPIVOTDATA("Suma de TOTAL HOTELERO",'[1]tabla dinámica pernocta'!$H$5,"PAIS/INDICADOR","PERNOCTACIONES","MES","1","AÑO",2006)</f>
        <v>1945285</v>
      </c>
      <c r="K69" s="52">
        <f>GETPIVOTDATA("Suma de Extrahoteleros",'[1]tabla dinámica pernocta'!$H$5,"PAIS/INDICADOR","PERNOCTACIONES","MES","1","AÑO",2006)</f>
        <v>1817118</v>
      </c>
      <c r="L69" s="52">
        <f>GETPIVOTDATA("Suma de TOTAL GENERAL",'[1]tabla dinámica pernocta'!$H$5,"PAIS/INDICADOR","PERNOCTACIONES","MES","1","AÑO",2006)</f>
        <v>3762403</v>
      </c>
    </row>
    <row r="70" spans="3:12" collapsed="1">
      <c r="C70" s="134">
        <v>2006</v>
      </c>
      <c r="D70" s="59">
        <f>GETPIVOTDATA("dato",'[1]tabla dinámica pernocta'!$P$5,"categoría","Hoteleros","año",2006)</f>
        <v>10004113</v>
      </c>
      <c r="E70" s="59">
        <f>GETPIVOTDATA("dato",'[1]tabla dinámica pernocta'!$P$5,"categoría","EXTRAHOTELEROS","año",2006)</f>
        <v>6581274</v>
      </c>
      <c r="F70" s="59">
        <f>GETPIVOTDATA("dato",'[1]tabla dinámica pernocta'!$P$5,"categoría","TOTAL","año",2006)</f>
        <v>16585387</v>
      </c>
      <c r="G70" s="59">
        <f>GETPIVOTDATA("Suma de hotel z4",'[1]tabla dinámica pernocta'!$H$5,"PAIS/INDICADOR","PERNOCTACIONES","AÑO",2006)</f>
        <v>17656729</v>
      </c>
      <c r="H70" s="59">
        <f>GETPIVOTDATA("Suma de extra-h z4",'[1]tabla dinámica pernocta'!$H$5,"PAIS/INDICADOR","PERNOCTACIONES","AÑO",2006)</f>
        <v>17192725</v>
      </c>
      <c r="I70" s="59">
        <f>GETPIVOTDATA("Suma de total z4",'[1]tabla dinámica pernocta'!$H$5,"PAIS/INDICADOR","PERNOCTACIONES","AÑO",2006)</f>
        <v>34849454</v>
      </c>
      <c r="J70" s="59">
        <f>GETPIVOTDATA("Suma de TOTAL HOTELERO",'[1]tabla dinámica pernocta'!$H$5,"PAIS/INDICADOR","PERNOCTACIONES","AÑO",2006)</f>
        <v>23394285</v>
      </c>
      <c r="K70" s="59">
        <f>GETPIVOTDATA("Suma de Extrahoteleros",'[1]tabla dinámica pernocta'!$H$5,"PAIS/INDICADOR","PERNOCTACIONES","AÑO",2006)</f>
        <v>20494280</v>
      </c>
      <c r="L70" s="59">
        <f>GETPIVOTDATA("Suma de TOTAL GENERAL",'[1]tabla dinámica pernocta'!$H$5,"PAIS/INDICADOR","PERNOCTACIONES","AÑO",2006)</f>
        <v>43888565</v>
      </c>
    </row>
    <row r="71" spans="3:12">
      <c r="C71" s="136" t="s">
        <v>77</v>
      </c>
      <c r="D71" s="137"/>
      <c r="E71" s="137"/>
      <c r="F71" s="137"/>
      <c r="G71" s="137"/>
      <c r="H71" s="137"/>
      <c r="I71" s="137"/>
      <c r="J71" s="137"/>
      <c r="K71" s="137"/>
      <c r="L71" s="138"/>
    </row>
  </sheetData>
  <mergeCells count="6">
    <mergeCell ref="C3:L3"/>
    <mergeCell ref="C4:C5"/>
    <mergeCell ref="D4:F4"/>
    <mergeCell ref="G4:I4"/>
    <mergeCell ref="J4:L4"/>
    <mergeCell ref="C71:L7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C2:L58"/>
  <sheetViews>
    <sheetView showGridLines="0" showRowColHeaders="0" zoomScaleNormal="100" workbookViewId="0">
      <selection activeCell="B25" sqref="B25"/>
    </sheetView>
  </sheetViews>
  <sheetFormatPr baseColWidth="10" defaultRowHeight="15" outlineLevelRow="1"/>
  <cols>
    <col min="1" max="1" width="14.7109375" style="121" customWidth="1"/>
    <col min="2" max="4" width="11.42578125" style="121"/>
    <col min="5" max="5" width="13.85546875" style="121" customWidth="1"/>
    <col min="6" max="7" width="11.42578125" style="121"/>
    <col min="8" max="8" width="14.140625" style="121" customWidth="1"/>
    <col min="9" max="10" width="11.42578125" style="121"/>
    <col min="11" max="11" width="14.28515625" style="121" customWidth="1"/>
    <col min="12" max="16384" width="11.42578125" style="121"/>
  </cols>
  <sheetData>
    <row r="2" spans="3:12" ht="44.25" customHeight="1"/>
    <row r="3" spans="3:12" ht="27" customHeight="1">
      <c r="C3" s="122" t="s">
        <v>229</v>
      </c>
      <c r="D3" s="122"/>
      <c r="E3" s="122"/>
      <c r="F3" s="122"/>
      <c r="G3" s="122"/>
      <c r="H3" s="122"/>
      <c r="I3" s="122"/>
      <c r="J3" s="122"/>
      <c r="K3" s="122"/>
      <c r="L3" s="122"/>
    </row>
    <row r="4" spans="3:12" ht="15" customHeight="1">
      <c r="C4" s="123"/>
      <c r="D4" s="124" t="s">
        <v>89</v>
      </c>
      <c r="E4" s="125"/>
      <c r="F4" s="125"/>
      <c r="G4" s="124" t="s">
        <v>92</v>
      </c>
      <c r="H4" s="125"/>
      <c r="I4" s="125"/>
      <c r="J4" s="124" t="s">
        <v>93</v>
      </c>
      <c r="K4" s="125"/>
      <c r="L4" s="125"/>
    </row>
    <row r="5" spans="3:12" ht="30">
      <c r="C5" s="127"/>
      <c r="D5" s="128" t="s">
        <v>94</v>
      </c>
      <c r="E5" s="128" t="s">
        <v>95</v>
      </c>
      <c r="F5" s="128" t="s">
        <v>69</v>
      </c>
      <c r="G5" s="128" t="s">
        <v>94</v>
      </c>
      <c r="H5" s="128" t="s">
        <v>95</v>
      </c>
      <c r="I5" s="128" t="s">
        <v>69</v>
      </c>
      <c r="J5" s="128" t="s">
        <v>96</v>
      </c>
      <c r="K5" s="128" t="s">
        <v>95</v>
      </c>
      <c r="L5" s="128" t="s">
        <v>36</v>
      </c>
    </row>
    <row r="6" spans="3:12" hidden="1">
      <c r="C6" s="51" t="s">
        <v>37</v>
      </c>
      <c r="D6" s="187" t="str">
        <f>IFERROR('Tablas PERNOCTA zona'!D6/'Tablas PERNOCTA zona'!D19-1,"-")</f>
        <v>-</v>
      </c>
      <c r="E6" s="187" t="str">
        <f>IFERROR('Tablas PERNOCTA zona'!E6/'Tablas PERNOCTA zona'!E19-1,"-")</f>
        <v>-</v>
      </c>
      <c r="F6" s="187" t="str">
        <f>IFERROR('Tablas PERNOCTA zona'!F6/'Tablas PERNOCTA zona'!F19-1,"-")</f>
        <v>-</v>
      </c>
      <c r="G6" s="187" t="str">
        <f>IFERROR('Tablas PERNOCTA zona'!G6/'Tablas PERNOCTA zona'!G19-1,"-")</f>
        <v>-</v>
      </c>
      <c r="H6" s="187" t="str">
        <f>IFERROR('Tablas PERNOCTA zona'!H6/'Tablas PERNOCTA zona'!H19-1,"-")</f>
        <v>-</v>
      </c>
      <c r="I6" s="187" t="str">
        <f>IFERROR('Tablas PERNOCTA zona'!I6/'Tablas PERNOCTA zona'!I19-1,"-")</f>
        <v>-</v>
      </c>
      <c r="J6" s="187" t="str">
        <f>IFERROR('Tablas PERNOCTA zona'!J6/'Tablas PERNOCTA zona'!J19-1,"-")</f>
        <v>-</v>
      </c>
      <c r="K6" s="187" t="str">
        <f>IFERROR('Tablas PERNOCTA zona'!K6/'Tablas PERNOCTA zona'!K19-1,"-")</f>
        <v>-</v>
      </c>
      <c r="L6" s="187" t="str">
        <f>IFERROR('Tablas PERNOCTA zona'!L6/'Tablas PERNOCTA zona'!L19-1,"-")</f>
        <v>-</v>
      </c>
    </row>
    <row r="7" spans="3:12" hidden="1">
      <c r="C7" s="51" t="s">
        <v>38</v>
      </c>
      <c r="D7" s="187" t="str">
        <f>IFERROR('Tablas PERNOCTA zona'!D7/'Tablas PERNOCTA zona'!D20-1,"-")</f>
        <v>-</v>
      </c>
      <c r="E7" s="187" t="str">
        <f>IFERROR('Tablas PERNOCTA zona'!E7/'Tablas PERNOCTA zona'!E20-1,"-")</f>
        <v>-</v>
      </c>
      <c r="F7" s="187" t="str">
        <f>IFERROR('Tablas PERNOCTA zona'!F7/'Tablas PERNOCTA zona'!F20-1,"-")</f>
        <v>-</v>
      </c>
      <c r="G7" s="187" t="str">
        <f>IFERROR('Tablas PERNOCTA zona'!G7/'Tablas PERNOCTA zona'!G20-1,"-")</f>
        <v>-</v>
      </c>
      <c r="H7" s="187" t="str">
        <f>IFERROR('Tablas PERNOCTA zona'!H7/'Tablas PERNOCTA zona'!H20-1,"-")</f>
        <v>-</v>
      </c>
      <c r="I7" s="187" t="str">
        <f>IFERROR('Tablas PERNOCTA zona'!I7/'Tablas PERNOCTA zona'!I20-1,"-")</f>
        <v>-</v>
      </c>
      <c r="J7" s="187" t="str">
        <f>IFERROR('Tablas PERNOCTA zona'!J7/'Tablas PERNOCTA zona'!J20-1,"-")</f>
        <v>-</v>
      </c>
      <c r="K7" s="187" t="str">
        <f>IFERROR('Tablas PERNOCTA zona'!K7/'Tablas PERNOCTA zona'!K20-1,"-")</f>
        <v>-</v>
      </c>
      <c r="L7" s="187" t="str">
        <f>IFERROR('Tablas PERNOCTA zona'!L7/'Tablas PERNOCTA zona'!L20-1,"-")</f>
        <v>-</v>
      </c>
    </row>
    <row r="8" spans="3:12" hidden="1">
      <c r="C8" s="51" t="s">
        <v>39</v>
      </c>
      <c r="D8" s="187" t="str">
        <f>IFERROR('Tablas PERNOCTA zona'!D8/'Tablas PERNOCTA zona'!D21-1,"-")</f>
        <v>-</v>
      </c>
      <c r="E8" s="187" t="str">
        <f>IFERROR('Tablas PERNOCTA zona'!E8/'Tablas PERNOCTA zona'!E21-1,"-")</f>
        <v>-</v>
      </c>
      <c r="F8" s="187" t="str">
        <f>IFERROR('Tablas PERNOCTA zona'!F8/'Tablas PERNOCTA zona'!F21-1,"-")</f>
        <v>-</v>
      </c>
      <c r="G8" s="187" t="str">
        <f>IFERROR('Tablas PERNOCTA zona'!G8/'Tablas PERNOCTA zona'!G21-1,"-")</f>
        <v>-</v>
      </c>
      <c r="H8" s="187" t="str">
        <f>IFERROR('Tablas PERNOCTA zona'!H8/'Tablas PERNOCTA zona'!H21-1,"-")</f>
        <v>-</v>
      </c>
      <c r="I8" s="187" t="str">
        <f>IFERROR('Tablas PERNOCTA zona'!I8/'Tablas PERNOCTA zona'!I21-1,"-")</f>
        <v>-</v>
      </c>
      <c r="J8" s="187" t="str">
        <f>IFERROR('Tablas PERNOCTA zona'!J8/'Tablas PERNOCTA zona'!J21-1,"-")</f>
        <v>-</v>
      </c>
      <c r="K8" s="187" t="str">
        <f>IFERROR('Tablas PERNOCTA zona'!K8/'Tablas PERNOCTA zona'!K21-1,"-")</f>
        <v>-</v>
      </c>
      <c r="L8" s="187" t="str">
        <f>IFERROR('Tablas PERNOCTA zona'!L8/'Tablas PERNOCTA zona'!L21-1,"-")</f>
        <v>-</v>
      </c>
    </row>
    <row r="9" spans="3:12" hidden="1">
      <c r="C9" s="51" t="s">
        <v>40</v>
      </c>
      <c r="D9" s="187" t="str">
        <f>IFERROR('Tablas PERNOCTA zona'!D9/'Tablas PERNOCTA zona'!D22-1,"-")</f>
        <v>-</v>
      </c>
      <c r="E9" s="187" t="str">
        <f>IFERROR('Tablas PERNOCTA zona'!E9/'Tablas PERNOCTA zona'!E22-1,"-")</f>
        <v>-</v>
      </c>
      <c r="F9" s="187" t="str">
        <f>IFERROR('Tablas PERNOCTA zona'!F9/'Tablas PERNOCTA zona'!F22-1,"-")</f>
        <v>-</v>
      </c>
      <c r="G9" s="187" t="str">
        <f>IFERROR('Tablas PERNOCTA zona'!G9/'Tablas PERNOCTA zona'!G22-1,"-")</f>
        <v>-</v>
      </c>
      <c r="H9" s="187" t="str">
        <f>IFERROR('Tablas PERNOCTA zona'!H9/'Tablas PERNOCTA zona'!H22-1,"-")</f>
        <v>-</v>
      </c>
      <c r="I9" s="187" t="str">
        <f>IFERROR('Tablas PERNOCTA zona'!I9/'Tablas PERNOCTA zona'!I22-1,"-")</f>
        <v>-</v>
      </c>
      <c r="J9" s="187" t="str">
        <f>IFERROR('Tablas PERNOCTA zona'!J9/'Tablas PERNOCTA zona'!J22-1,"-")</f>
        <v>-</v>
      </c>
      <c r="K9" s="187" t="str">
        <f>IFERROR('Tablas PERNOCTA zona'!K9/'Tablas PERNOCTA zona'!K22-1,"-")</f>
        <v>-</v>
      </c>
      <c r="L9" s="187" t="str">
        <f>IFERROR('Tablas PERNOCTA zona'!L9/'Tablas PERNOCTA zona'!L22-1,"-")</f>
        <v>-</v>
      </c>
    </row>
    <row r="10" spans="3:12" hidden="1">
      <c r="C10" s="51" t="s">
        <v>41</v>
      </c>
      <c r="D10" s="187" t="str">
        <f>IFERROR('Tablas PERNOCTA zona'!D10/'Tablas PERNOCTA zona'!D23-1,"-")</f>
        <v>-</v>
      </c>
      <c r="E10" s="187" t="str">
        <f>IFERROR('Tablas PERNOCTA zona'!E10/'Tablas PERNOCTA zona'!E23-1,"-")</f>
        <v>-</v>
      </c>
      <c r="F10" s="187" t="str">
        <f>IFERROR('Tablas PERNOCTA zona'!F10/'Tablas PERNOCTA zona'!F23-1,"-")</f>
        <v>-</v>
      </c>
      <c r="G10" s="187" t="str">
        <f>IFERROR('Tablas PERNOCTA zona'!G10/'Tablas PERNOCTA zona'!G23-1,"-")</f>
        <v>-</v>
      </c>
      <c r="H10" s="187" t="str">
        <f>IFERROR('Tablas PERNOCTA zona'!H10/'Tablas PERNOCTA zona'!H23-1,"-")</f>
        <v>-</v>
      </c>
      <c r="I10" s="187" t="str">
        <f>IFERROR('Tablas PERNOCTA zona'!I10/'Tablas PERNOCTA zona'!I23-1,"-")</f>
        <v>-</v>
      </c>
      <c r="J10" s="187" t="str">
        <f>IFERROR('Tablas PERNOCTA zona'!J10/'Tablas PERNOCTA zona'!J23-1,"-")</f>
        <v>-</v>
      </c>
      <c r="K10" s="187" t="str">
        <f>IFERROR('Tablas PERNOCTA zona'!K10/'Tablas PERNOCTA zona'!K23-1,"-")</f>
        <v>-</v>
      </c>
      <c r="L10" s="187" t="str">
        <f>IFERROR('Tablas PERNOCTA zona'!L10/'Tablas PERNOCTA zona'!L23-1,"-")</f>
        <v>-</v>
      </c>
    </row>
    <row r="11" spans="3:12">
      <c r="C11" s="51" t="s">
        <v>42</v>
      </c>
      <c r="D11" s="187">
        <f>IFERROR('Tablas PERNOCTA zona'!D11/'Tablas PERNOCTA zona'!D24-1,"-")</f>
        <v>6.3926420857144395E-2</v>
      </c>
      <c r="E11" s="187">
        <f>IFERROR('Tablas PERNOCTA zona'!E11/'Tablas PERNOCTA zona'!E24-1,"-")</f>
        <v>6.053237377913856E-2</v>
      </c>
      <c r="F11" s="187">
        <f>IFERROR('Tablas PERNOCTA zona'!F11/'Tablas PERNOCTA zona'!F24-1,"-")</f>
        <v>6.2691066817865959E-2</v>
      </c>
      <c r="G11" s="187">
        <f>IFERROR('Tablas PERNOCTA zona'!G11/'Tablas PERNOCTA zona'!G24-1,"-")</f>
        <v>7.3010843792350455E-2</v>
      </c>
      <c r="H11" s="187">
        <f>IFERROR('Tablas PERNOCTA zona'!H11/'Tablas PERNOCTA zona'!H24-1,"-")</f>
        <v>5.1789483804183245E-2</v>
      </c>
      <c r="I11" s="187">
        <f>IFERROR('Tablas PERNOCTA zona'!I11/'Tablas PERNOCTA zona'!I24-1,"-")</f>
        <v>6.3340028507998358E-2</v>
      </c>
      <c r="J11" s="187">
        <f>IFERROR('Tablas PERNOCTA zona'!J11/'Tablas PERNOCTA zona'!J24-1,"-")</f>
        <v>3.2678718360957593E-2</v>
      </c>
      <c r="K11" s="187">
        <f>IFERROR('Tablas PERNOCTA zona'!K11/'Tablas PERNOCTA zona'!K24-1,"-")</f>
        <v>1.1332522440906434E-2</v>
      </c>
      <c r="L11" s="187">
        <f>IFERROR('Tablas PERNOCTA zona'!L11/'Tablas PERNOCTA zona'!L24-1,"-")</f>
        <v>2.3377128292525029E-2</v>
      </c>
    </row>
    <row r="12" spans="3:12">
      <c r="C12" s="51" t="s">
        <v>43</v>
      </c>
      <c r="D12" s="187">
        <f>IFERROR('Tablas PERNOCTA zona'!D12/'Tablas PERNOCTA zona'!D25-1,"-")</f>
        <v>4.9377804911314493E-2</v>
      </c>
      <c r="E12" s="187">
        <f>IFERROR('Tablas PERNOCTA zona'!E12/'Tablas PERNOCTA zona'!E25-1,"-")</f>
        <v>-8.3864266123987452E-3</v>
      </c>
      <c r="F12" s="187">
        <f>IFERROR('Tablas PERNOCTA zona'!F12/'Tablas PERNOCTA zona'!F25-1,"-")</f>
        <v>2.8320468678580957E-2</v>
      </c>
      <c r="G12" s="187">
        <f>IFERROR('Tablas PERNOCTA zona'!G12/'Tablas PERNOCTA zona'!G25-1,"-")</f>
        <v>4.4725197980416409E-2</v>
      </c>
      <c r="H12" s="187">
        <f>IFERROR('Tablas PERNOCTA zona'!H12/'Tablas PERNOCTA zona'!H25-1,"-")</f>
        <v>4.4234893236327233E-2</v>
      </c>
      <c r="I12" s="187">
        <f>IFERROR('Tablas PERNOCTA zona'!I12/'Tablas PERNOCTA zona'!I25-1,"-")</f>
        <v>4.4510690345712423E-2</v>
      </c>
      <c r="J12" s="187">
        <f>IFERROR('Tablas PERNOCTA zona'!J12/'Tablas PERNOCTA zona'!J25-1,"-")</f>
        <v>5.1398941719275948E-2</v>
      </c>
      <c r="K12" s="187">
        <f>IFERROR('Tablas PERNOCTA zona'!K12/'Tablas PERNOCTA zona'!K25-1,"-")</f>
        <v>1.498549373121949E-2</v>
      </c>
      <c r="L12" s="187">
        <f>IFERROR('Tablas PERNOCTA zona'!L12/'Tablas PERNOCTA zona'!L25-1,"-")</f>
        <v>3.607557089287261E-2</v>
      </c>
    </row>
    <row r="13" spans="3:12">
      <c r="C13" s="51" t="s">
        <v>44</v>
      </c>
      <c r="D13" s="187">
        <f>IFERROR('Tablas PERNOCTA zona'!D13/'Tablas PERNOCTA zona'!D26-1,"-")</f>
        <v>8.1243170310022927E-2</v>
      </c>
      <c r="E13" s="187">
        <f>IFERROR('Tablas PERNOCTA zona'!E13/'Tablas PERNOCTA zona'!E26-1,"-")</f>
        <v>9.5381288750617799E-3</v>
      </c>
      <c r="F13" s="187">
        <f>IFERROR('Tablas PERNOCTA zona'!F13/'Tablas PERNOCTA zona'!F26-1,"-")</f>
        <v>5.6023396480771925E-2</v>
      </c>
      <c r="G13" s="187">
        <f>IFERROR('Tablas PERNOCTA zona'!G13/'Tablas PERNOCTA zona'!G26-1,"-")</f>
        <v>6.3195027169706819E-2</v>
      </c>
      <c r="H13" s="187">
        <f>IFERROR('Tablas PERNOCTA zona'!H13/'Tablas PERNOCTA zona'!H26-1,"-")</f>
        <v>-3.4755627820123314E-3</v>
      </c>
      <c r="I13" s="187">
        <f>IFERROR('Tablas PERNOCTA zona'!I13/'Tablas PERNOCTA zona'!I26-1,"-")</f>
        <v>3.4299500555451168E-2</v>
      </c>
      <c r="J13" s="187">
        <f>IFERROR('Tablas PERNOCTA zona'!J13/'Tablas PERNOCTA zona'!J26-1,"-")</f>
        <v>5.0602859356292607E-2</v>
      </c>
      <c r="K13" s="187">
        <f>IFERROR('Tablas PERNOCTA zona'!K13/'Tablas PERNOCTA zona'!K26-1,"-")</f>
        <v>-3.6240739707019909E-2</v>
      </c>
      <c r="L13" s="187">
        <f>IFERROR('Tablas PERNOCTA zona'!L13/'Tablas PERNOCTA zona'!L26-1,"-")</f>
        <v>1.4648129592242709E-2</v>
      </c>
    </row>
    <row r="14" spans="3:12">
      <c r="C14" s="51" t="s">
        <v>45</v>
      </c>
      <c r="D14" s="187">
        <f>IFERROR('Tablas PERNOCTA zona'!D14/'Tablas PERNOCTA zona'!D27-1,"-")</f>
        <v>2.8719126938536732E-4</v>
      </c>
      <c r="E14" s="187">
        <f>IFERROR('Tablas PERNOCTA zona'!E14/'Tablas PERNOCTA zona'!E27-1,"-")</f>
        <v>-9.5823870352990115E-2</v>
      </c>
      <c r="F14" s="187">
        <f>IFERROR('Tablas PERNOCTA zona'!F14/'Tablas PERNOCTA zona'!F27-1,"-")</f>
        <v>-3.62592387094548E-2</v>
      </c>
      <c r="G14" s="187">
        <f>IFERROR('Tablas PERNOCTA zona'!G14/'Tablas PERNOCTA zona'!G27-1,"-")</f>
        <v>-9.833091151867368E-3</v>
      </c>
      <c r="H14" s="187">
        <f>IFERROR('Tablas PERNOCTA zona'!H14/'Tablas PERNOCTA zona'!H27-1,"-")</f>
        <v>-9.7508749351475466E-2</v>
      </c>
      <c r="I14" s="187">
        <f>IFERROR('Tablas PERNOCTA zona'!I14/'Tablas PERNOCTA zona'!I27-1,"-")</f>
        <v>-5.0292121105474874E-2</v>
      </c>
      <c r="J14" s="187">
        <f>IFERROR('Tablas PERNOCTA zona'!J14/'Tablas PERNOCTA zona'!J27-1,"-")</f>
        <v>-4.3537178933474419E-2</v>
      </c>
      <c r="K14" s="187">
        <f>IFERROR('Tablas PERNOCTA zona'!K14/'Tablas PERNOCTA zona'!K27-1,"-")</f>
        <v>-0.11184014174623491</v>
      </c>
      <c r="L14" s="187">
        <f>IFERROR('Tablas PERNOCTA zona'!L14/'Tablas PERNOCTA zona'!L27-1,"-")</f>
        <v>-7.3257212835748375E-2</v>
      </c>
    </row>
    <row r="15" spans="3:12">
      <c r="C15" s="51" t="s">
        <v>46</v>
      </c>
      <c r="D15" s="187">
        <f>IFERROR('Tablas PERNOCTA zona'!D15/'Tablas PERNOCTA zona'!D28-1,"-")</f>
        <v>6.6835489876388987E-3</v>
      </c>
      <c r="E15" s="187">
        <f>IFERROR('Tablas PERNOCTA zona'!E15/'Tablas PERNOCTA zona'!E28-1,"-")</f>
        <v>-5.2527388622461646E-2</v>
      </c>
      <c r="F15" s="187">
        <f>IFERROR('Tablas PERNOCTA zona'!F15/'Tablas PERNOCTA zona'!F28-1,"-")</f>
        <v>-1.7154822554183546E-2</v>
      </c>
      <c r="G15" s="187">
        <f>IFERROR('Tablas PERNOCTA zona'!G15/'Tablas PERNOCTA zona'!G28-1,"-")</f>
        <v>3.8635532266191097E-2</v>
      </c>
      <c r="H15" s="187">
        <f>IFERROR('Tablas PERNOCTA zona'!H15/'Tablas PERNOCTA zona'!H28-1,"-")</f>
        <v>-5.5556487857864267E-2</v>
      </c>
      <c r="I15" s="187">
        <f>IFERROR('Tablas PERNOCTA zona'!I15/'Tablas PERNOCTA zona'!I28-1,"-")</f>
        <v>-8.5863875947291834E-3</v>
      </c>
      <c r="J15" s="187">
        <f>IFERROR('Tablas PERNOCTA zona'!J15/'Tablas PERNOCTA zona'!J28-1,"-")</f>
        <v>9.9710227460159118E-3</v>
      </c>
      <c r="K15" s="187">
        <f>IFERROR('Tablas PERNOCTA zona'!K15/'Tablas PERNOCTA zona'!K28-1,"-")</f>
        <v>-7.9926731742644308E-2</v>
      </c>
      <c r="L15" s="187">
        <f>IFERROR('Tablas PERNOCTA zona'!L15/'Tablas PERNOCTA zona'!L28-1,"-")</f>
        <v>-3.2647373846854788E-2</v>
      </c>
    </row>
    <row r="16" spans="3:12">
      <c r="C16" s="51" t="s">
        <v>47</v>
      </c>
      <c r="D16" s="187">
        <f>IFERROR('Tablas PERNOCTA zona'!D16/'Tablas PERNOCTA zona'!D29-1,"-")</f>
        <v>5.2761798251996783E-3</v>
      </c>
      <c r="E16" s="187">
        <f>IFERROR('Tablas PERNOCTA zona'!E16/'Tablas PERNOCTA zona'!E29-1,"-")</f>
        <v>-6.8373520385795694E-2</v>
      </c>
      <c r="F16" s="187">
        <f>IFERROR('Tablas PERNOCTA zona'!F16/'Tablas PERNOCTA zona'!F29-1,"-")</f>
        <v>-2.5021980350693696E-2</v>
      </c>
      <c r="G16" s="187">
        <f>IFERROR('Tablas PERNOCTA zona'!G16/'Tablas PERNOCTA zona'!G29-1,"-")</f>
        <v>6.134753418105543E-3</v>
      </c>
      <c r="H16" s="187">
        <f>IFERROR('Tablas PERNOCTA zona'!H16/'Tablas PERNOCTA zona'!H29-1,"-")</f>
        <v>-6.2141264455035761E-2</v>
      </c>
      <c r="I16" s="187">
        <f>IFERROR('Tablas PERNOCTA zona'!I16/'Tablas PERNOCTA zona'!I29-1,"-")</f>
        <v>-2.790026582569427E-2</v>
      </c>
      <c r="J16" s="187">
        <f>IFERROR('Tablas PERNOCTA zona'!J16/'Tablas PERNOCTA zona'!J29-1,"-")</f>
        <v>1.4431404593052255E-2</v>
      </c>
      <c r="K16" s="187">
        <f>IFERROR('Tablas PERNOCTA zona'!K16/'Tablas PERNOCTA zona'!K29-1,"-")</f>
        <v>-8.1158777374745084E-2</v>
      </c>
      <c r="L16" s="187">
        <f>IFERROR('Tablas PERNOCTA zona'!L16/'Tablas PERNOCTA zona'!L29-1,"-")</f>
        <v>-3.0898829095330149E-2</v>
      </c>
    </row>
    <row r="17" spans="3:12">
      <c r="C17" s="51" t="s">
        <v>48</v>
      </c>
      <c r="D17" s="187">
        <f>IFERROR('Tablas PERNOCTA zona'!D17/'Tablas PERNOCTA zona'!D30-1,"-")</f>
        <v>-4.4257388003806297E-2</v>
      </c>
      <c r="E17" s="187">
        <f>IFERROR('Tablas PERNOCTA zona'!E17/'Tablas PERNOCTA zona'!E30-1,"-")</f>
        <v>-9.6136668155426541E-2</v>
      </c>
      <c r="F17" s="187">
        <f>IFERROR('Tablas PERNOCTA zona'!F17/'Tablas PERNOCTA zona'!F30-1,"-")</f>
        <v>-6.4817630768884138E-2</v>
      </c>
      <c r="G17" s="187">
        <f>IFERROR('Tablas PERNOCTA zona'!G17/'Tablas PERNOCTA zona'!G30-1,"-")</f>
        <v>-2.9148887777571297E-2</v>
      </c>
      <c r="H17" s="187">
        <f>IFERROR('Tablas PERNOCTA zona'!H17/'Tablas PERNOCTA zona'!H30-1,"-")</f>
        <v>-6.7141198061210439E-2</v>
      </c>
      <c r="I17" s="187">
        <f>IFERROR('Tablas PERNOCTA zona'!I17/'Tablas PERNOCTA zona'!I30-1,"-")</f>
        <v>-4.7591691888966281E-2</v>
      </c>
      <c r="J17" s="187">
        <f>IFERROR('Tablas PERNOCTA zona'!J17/'Tablas PERNOCTA zona'!J30-1,"-")</f>
        <v>-2.4103216399638305E-2</v>
      </c>
      <c r="K17" s="187">
        <f>IFERROR('Tablas PERNOCTA zona'!K17/'Tablas PERNOCTA zona'!K30-1,"-")</f>
        <v>-9.366156117085922E-2</v>
      </c>
      <c r="L17" s="187">
        <f>IFERROR('Tablas PERNOCTA zona'!L17/'Tablas PERNOCTA zona'!L30-1,"-")</f>
        <v>-5.6395205550938021E-2</v>
      </c>
    </row>
    <row r="18" spans="3:12" ht="30">
      <c r="C18" s="69" t="s">
        <v>54</v>
      </c>
      <c r="D18" s="322">
        <f>IFERROR(('Tablas PERNOCTA zona'!D17+'Tablas PERNOCTA zona'!D16+'Tablas PERNOCTA zona'!D15+'Tablas PERNOCTA zona'!D14+'Tablas PERNOCTA zona'!D13+'Tablas PERNOCTA zona'!D12+'Tablas PERNOCTA zona'!D11)/('Tablas PERNOCTA zona'!D28+'Tablas PERNOCTA zona'!D29+'Tablas PERNOCTA zona'!D30+'Tablas PERNOCTA zona'!D27+'Tablas PERNOCTA zona'!D26+'Tablas PERNOCTA zona'!D25+'Tablas PERNOCTA zona'!D24)-1,"-")</f>
        <v>2.1629857085292858E-2</v>
      </c>
      <c r="E18" s="322">
        <f>IFERROR(('Tablas PERNOCTA zona'!E17+'Tablas PERNOCTA zona'!E16+'Tablas PERNOCTA zona'!E15+'Tablas PERNOCTA zona'!E14+'Tablas PERNOCTA zona'!E13+'Tablas PERNOCTA zona'!E12+'Tablas PERNOCTA zona'!E11)/('Tablas PERNOCTA zona'!E28+'Tablas PERNOCTA zona'!E29+'Tablas PERNOCTA zona'!E30+'Tablas PERNOCTA zona'!E27+'Tablas PERNOCTA zona'!E26+'Tablas PERNOCTA zona'!E25+'Tablas PERNOCTA zona'!E24)-1,"-")</f>
        <v>-3.9303995140527959E-2</v>
      </c>
      <c r="F18" s="322">
        <f>IFERROR(('Tablas PERNOCTA zona'!F17+'Tablas PERNOCTA zona'!F16+'Tablas PERNOCTA zona'!F15+'Tablas PERNOCTA zona'!F14+'Tablas PERNOCTA zona'!F13+'Tablas PERNOCTA zona'!F12+'Tablas PERNOCTA zona'!F11)/('Tablas PERNOCTA zona'!F28+'Tablas PERNOCTA zona'!F29+'Tablas PERNOCTA zona'!F30+'Tablas PERNOCTA zona'!F27+'Tablas PERNOCTA zona'!F26+'Tablas PERNOCTA zona'!F25+'Tablas PERNOCTA zona'!F24)-1,"-")</f>
        <v>-1.6935387347709607E-3</v>
      </c>
      <c r="G18" s="322">
        <f>IFERROR(('Tablas PERNOCTA zona'!G17+'Tablas PERNOCTA zona'!G16+'Tablas PERNOCTA zona'!G15+'Tablas PERNOCTA zona'!G14+'Tablas PERNOCTA zona'!G13+'Tablas PERNOCTA zona'!G12+'Tablas PERNOCTA zona'!G11)/('Tablas PERNOCTA zona'!G28+'Tablas PERNOCTA zona'!G29+'Tablas PERNOCTA zona'!G30+'Tablas PERNOCTA zona'!G27+'Tablas PERNOCTA zona'!G26+'Tablas PERNOCTA zona'!G25+'Tablas PERNOCTA zona'!G24)-1,"-")</f>
        <v>2.5994704277016112E-2</v>
      </c>
      <c r="H18" s="322">
        <f>IFERROR(('Tablas PERNOCTA zona'!H17+'Tablas PERNOCTA zona'!H16+'Tablas PERNOCTA zona'!H15+'Tablas PERNOCTA zona'!H14+'Tablas PERNOCTA zona'!H13+'Tablas PERNOCTA zona'!H12+'Tablas PERNOCTA zona'!H11)/('Tablas PERNOCTA zona'!H28+'Tablas PERNOCTA zona'!H29+'Tablas PERNOCTA zona'!H30+'Tablas PERNOCTA zona'!H27+'Tablas PERNOCTA zona'!H26+'Tablas PERNOCTA zona'!H25+'Tablas PERNOCTA zona'!H24)-1,"-")</f>
        <v>-3.0898580020325084E-2</v>
      </c>
      <c r="I18" s="322">
        <f>IFERROR(('Tablas PERNOCTA zona'!I17+'Tablas PERNOCTA zona'!I16+'Tablas PERNOCTA zona'!I15+'Tablas PERNOCTA zona'!I14+'Tablas PERNOCTA zona'!I13+'Tablas PERNOCTA zona'!I12+'Tablas PERNOCTA zona'!I11)/('Tablas PERNOCTA zona'!I28+'Tablas PERNOCTA zona'!I29+'Tablas PERNOCTA zona'!I30+'Tablas PERNOCTA zona'!I27+'Tablas PERNOCTA zona'!I26+'Tablas PERNOCTA zona'!I25+'Tablas PERNOCTA zona'!I24)-1,"-")</f>
        <v>-7.3724065742275524E-4</v>
      </c>
      <c r="J18" s="322">
        <f>IFERROR(('Tablas PERNOCTA zona'!J17+'Tablas PERNOCTA zona'!J16+'Tablas PERNOCTA zona'!J15+'Tablas PERNOCTA zona'!J14+'Tablas PERNOCTA zona'!J13+'Tablas PERNOCTA zona'!J12+'Tablas PERNOCTA zona'!J11)/('Tablas PERNOCTA zona'!J28+'Tablas PERNOCTA zona'!J29+'Tablas PERNOCTA zona'!J30+'Tablas PERNOCTA zona'!J27+'Tablas PERNOCTA zona'!J26+'Tablas PERNOCTA zona'!J25+'Tablas PERNOCTA zona'!J24)-1,"-")</f>
        <v>1.1422247455309842E-2</v>
      </c>
      <c r="K18" s="322">
        <f>IFERROR(('Tablas PERNOCTA zona'!K17+'Tablas PERNOCTA zona'!K16+'Tablas PERNOCTA zona'!K15+'Tablas PERNOCTA zona'!K14+'Tablas PERNOCTA zona'!K13+'Tablas PERNOCTA zona'!K12+'Tablas PERNOCTA zona'!K11)/('Tablas PERNOCTA zona'!K28+'Tablas PERNOCTA zona'!K29+'Tablas PERNOCTA zona'!K30+'Tablas PERNOCTA zona'!K27+'Tablas PERNOCTA zona'!K26+'Tablas PERNOCTA zona'!K25+'Tablas PERNOCTA zona'!K24)-1,"-")</f>
        <v>-5.7674192820121872E-2</v>
      </c>
      <c r="L18" s="322">
        <f>IFERROR(('Tablas PERNOCTA zona'!L17+'Tablas PERNOCTA zona'!L16+'Tablas PERNOCTA zona'!L15+'Tablas PERNOCTA zona'!L14+'Tablas PERNOCTA zona'!L13+'Tablas PERNOCTA zona'!L12+'Tablas PERNOCTA zona'!L11)/('Tablas PERNOCTA zona'!L28+'Tablas PERNOCTA zona'!L29+'Tablas PERNOCTA zona'!L30+'Tablas PERNOCTA zona'!L27+'Tablas PERNOCTA zona'!L26+'Tablas PERNOCTA zona'!L25+'Tablas PERNOCTA zona'!L24)-1,"-")</f>
        <v>-1.95165404182992E-2</v>
      </c>
    </row>
    <row r="19" spans="3:12" hidden="1" outlineLevel="1">
      <c r="C19" s="51" t="s">
        <v>37</v>
      </c>
      <c r="D19" s="187">
        <f>IFERROR('Tablas PERNOCTA zona'!D19/'Tablas PERNOCTA zona'!D32-1,"-")</f>
        <v>-8.1892392669994596E-2</v>
      </c>
      <c r="E19" s="187">
        <f>IFERROR('Tablas PERNOCTA zona'!E19/'Tablas PERNOCTA zona'!E32-1,"-")</f>
        <v>-0.1075953793370138</v>
      </c>
      <c r="F19" s="187">
        <f>IFERROR('Tablas PERNOCTA zona'!F19/'Tablas PERNOCTA zona'!F32-1,"-")</f>
        <v>-9.2075037504899426E-2</v>
      </c>
      <c r="G19" s="187">
        <f>IFERROR('Tablas PERNOCTA zona'!G19/'Tablas PERNOCTA zona'!G32-1,"-")</f>
        <v>-7.282241538329226E-2</v>
      </c>
      <c r="H19" s="187">
        <f>IFERROR('Tablas PERNOCTA zona'!H19/'Tablas PERNOCTA zona'!H32-1,"-")</f>
        <v>-0.11068346144947694</v>
      </c>
      <c r="I19" s="187">
        <f>IFERROR('Tablas PERNOCTA zona'!I19/'Tablas PERNOCTA zona'!I32-1,"-")</f>
        <v>-9.1442944801918835E-2</v>
      </c>
      <c r="J19" s="187">
        <f>IFERROR('Tablas PERNOCTA zona'!J19/'Tablas PERNOCTA zona'!J32-1,"-")</f>
        <v>-7.711478263106708E-2</v>
      </c>
      <c r="K19" s="187">
        <f>IFERROR('Tablas PERNOCTA zona'!K19/'Tablas PERNOCTA zona'!K32-1,"-")</f>
        <v>-0.12739845041822406</v>
      </c>
      <c r="L19" s="187">
        <f>IFERROR('Tablas PERNOCTA zona'!L19/'Tablas PERNOCTA zona'!L32-1,"-")</f>
        <v>-0.10062421660235699</v>
      </c>
    </row>
    <row r="20" spans="3:12" hidden="1" outlineLevel="1">
      <c r="C20" s="51" t="s">
        <v>38</v>
      </c>
      <c r="D20" s="187">
        <f>IFERROR('Tablas PERNOCTA zona'!D20/'Tablas PERNOCTA zona'!D33-1,"-")</f>
        <v>-8.9069423360464861E-2</v>
      </c>
      <c r="E20" s="187">
        <f>IFERROR('Tablas PERNOCTA zona'!E20/'Tablas PERNOCTA zona'!E33-1,"-")</f>
        <v>-9.6569236995455943E-2</v>
      </c>
      <c r="F20" s="187">
        <f>IFERROR('Tablas PERNOCTA zona'!F20/'Tablas PERNOCTA zona'!F33-1,"-")</f>
        <v>-9.1916617178084081E-2</v>
      </c>
      <c r="G20" s="187">
        <f>IFERROR('Tablas PERNOCTA zona'!G20/'Tablas PERNOCTA zona'!G33-1,"-")</f>
        <v>-6.8553522912515819E-2</v>
      </c>
      <c r="H20" s="187">
        <f>IFERROR('Tablas PERNOCTA zona'!H20/'Tablas PERNOCTA zona'!H33-1,"-")</f>
        <v>-0.14833495071249814</v>
      </c>
      <c r="I20" s="187">
        <f>IFERROR('Tablas PERNOCTA zona'!I20/'Tablas PERNOCTA zona'!I33-1,"-")</f>
        <v>-0.10772519178558071</v>
      </c>
      <c r="J20" s="187">
        <f>IFERROR('Tablas PERNOCTA zona'!J20/'Tablas PERNOCTA zona'!J33-1,"-")</f>
        <v>-7.8815085942363639E-2</v>
      </c>
      <c r="K20" s="187">
        <f>IFERROR('Tablas PERNOCTA zona'!K20/'Tablas PERNOCTA zona'!K33-1,"-")</f>
        <v>-0.16447644802213701</v>
      </c>
      <c r="L20" s="187">
        <f>IFERROR('Tablas PERNOCTA zona'!L20/'Tablas PERNOCTA zona'!L33-1,"-")</f>
        <v>-0.11885319628502189</v>
      </c>
    </row>
    <row r="21" spans="3:12" hidden="1" outlineLevel="1">
      <c r="C21" s="51" t="s">
        <v>39</v>
      </c>
      <c r="D21" s="187">
        <f>IFERROR('Tablas PERNOCTA zona'!D21/'Tablas PERNOCTA zona'!D34-1,"-")</f>
        <v>-0.13877780955386376</v>
      </c>
      <c r="E21" s="187">
        <f>IFERROR('Tablas PERNOCTA zona'!E21/'Tablas PERNOCTA zona'!E34-1,"-")</f>
        <v>-0.15906523536353712</v>
      </c>
      <c r="F21" s="187">
        <f>IFERROR('Tablas PERNOCTA zona'!F21/'Tablas PERNOCTA zona'!F34-1,"-")</f>
        <v>-0.14627355913207107</v>
      </c>
      <c r="G21" s="187">
        <f>IFERROR('Tablas PERNOCTA zona'!G21/'Tablas PERNOCTA zona'!G34-1,"-")</f>
        <v>-8.4911839087709051E-2</v>
      </c>
      <c r="H21" s="187">
        <f>IFERROR('Tablas PERNOCTA zona'!H21/'Tablas PERNOCTA zona'!H34-1,"-")</f>
        <v>-0.12069930910183235</v>
      </c>
      <c r="I21" s="187">
        <f>IFERROR('Tablas PERNOCTA zona'!I21/'Tablas PERNOCTA zona'!I34-1,"-")</f>
        <v>-0.10151238384571026</v>
      </c>
      <c r="J21" s="187">
        <f>IFERROR('Tablas PERNOCTA zona'!J21/'Tablas PERNOCTA zona'!J34-1,"-")</f>
        <v>-0.1127749878644686</v>
      </c>
      <c r="K21" s="187">
        <f>IFERROR('Tablas PERNOCTA zona'!K21/'Tablas PERNOCTA zona'!K34-1,"-")</f>
        <v>-0.14195644966393306</v>
      </c>
      <c r="L21" s="187">
        <f>IFERROR('Tablas PERNOCTA zona'!L21/'Tablas PERNOCTA zona'!L34-1,"-")</f>
        <v>-0.12571846305344481</v>
      </c>
    </row>
    <row r="22" spans="3:12" hidden="1" outlineLevel="1">
      <c r="C22" s="51" t="s">
        <v>40</v>
      </c>
      <c r="D22" s="187">
        <f>IFERROR('Tablas PERNOCTA zona'!D22/'Tablas PERNOCTA zona'!D35-1,"-")</f>
        <v>-0.13041588251748981</v>
      </c>
      <c r="E22" s="187">
        <f>IFERROR('Tablas PERNOCTA zona'!E22/'Tablas PERNOCTA zona'!E35-1,"-")</f>
        <v>-8.230880418365194E-2</v>
      </c>
      <c r="F22" s="187">
        <f>IFERROR('Tablas PERNOCTA zona'!F22/'Tablas PERNOCTA zona'!F35-1,"-")</f>
        <v>-0.1130276103356781</v>
      </c>
      <c r="G22" s="187">
        <f>IFERROR('Tablas PERNOCTA zona'!G22/'Tablas PERNOCTA zona'!G35-1,"-")</f>
        <v>-9.4144927367250442E-2</v>
      </c>
      <c r="H22" s="187">
        <f>IFERROR('Tablas PERNOCTA zona'!H22/'Tablas PERNOCTA zona'!H35-1,"-")</f>
        <v>-8.3506569666424002E-2</v>
      </c>
      <c r="I22" s="187">
        <f>IFERROR('Tablas PERNOCTA zona'!I22/'Tablas PERNOCTA zona'!I35-1,"-")</f>
        <v>-8.9407734745883261E-2</v>
      </c>
      <c r="J22" s="187">
        <f>IFERROR('Tablas PERNOCTA zona'!J22/'Tablas PERNOCTA zona'!J35-1,"-")</f>
        <v>-0.12100826071878423</v>
      </c>
      <c r="K22" s="187">
        <f>IFERROR('Tablas PERNOCTA zona'!K22/'Tablas PERNOCTA zona'!K35-1,"-")</f>
        <v>-0.11818502873444603</v>
      </c>
      <c r="L22" s="187">
        <f>IFERROR('Tablas PERNOCTA zona'!L22/'Tablas PERNOCTA zona'!L35-1,"-")</f>
        <v>-0.11981197986997827</v>
      </c>
    </row>
    <row r="23" spans="3:12" hidden="1" outlineLevel="1">
      <c r="C23" s="51" t="s">
        <v>41</v>
      </c>
      <c r="D23" s="187">
        <f>IFERROR('Tablas PERNOCTA zona'!D23/'Tablas PERNOCTA zona'!D36-1,"-")</f>
        <v>-0.12777042257061699</v>
      </c>
      <c r="E23" s="187">
        <f>IFERROR('Tablas PERNOCTA zona'!E23/'Tablas PERNOCTA zona'!E36-1,"-")</f>
        <v>-0.12435366673341497</v>
      </c>
      <c r="F23" s="187">
        <f>IFERROR('Tablas PERNOCTA zona'!F23/'Tablas PERNOCTA zona'!F36-1,"-")</f>
        <v>-0.12639381489850454</v>
      </c>
      <c r="G23" s="187">
        <f>IFERROR('Tablas PERNOCTA zona'!G23/'Tablas PERNOCTA zona'!G36-1,"-")</f>
        <v>-0.10430891311081281</v>
      </c>
      <c r="H23" s="187">
        <f>IFERROR('Tablas PERNOCTA zona'!H23/'Tablas PERNOCTA zona'!H36-1,"-")</f>
        <v>-0.11464571534454093</v>
      </c>
      <c r="I23" s="187">
        <f>IFERROR('Tablas PERNOCTA zona'!I23/'Tablas PERNOCTA zona'!I36-1,"-")</f>
        <v>-0.10930672709991995</v>
      </c>
      <c r="J23" s="187">
        <f>IFERROR('Tablas PERNOCTA zona'!J23/'Tablas PERNOCTA zona'!J36-1,"-")</f>
        <v>-0.1277363413458984</v>
      </c>
      <c r="K23" s="187">
        <f>IFERROR('Tablas PERNOCTA zona'!K23/'Tablas PERNOCTA zona'!K36-1,"-")</f>
        <v>-0.15681948228278786</v>
      </c>
      <c r="L23" s="187">
        <f>IFERROR('Tablas PERNOCTA zona'!L23/'Tablas PERNOCTA zona'!L36-1,"-")</f>
        <v>-0.14115038584531348</v>
      </c>
    </row>
    <row r="24" spans="3:12" hidden="1" outlineLevel="1">
      <c r="C24" s="51" t="s">
        <v>42</v>
      </c>
      <c r="D24" s="187">
        <f>IFERROR('Tablas PERNOCTA zona'!D24/'Tablas PERNOCTA zona'!D37-1,"-")</f>
        <v>-0.16547530481394157</v>
      </c>
      <c r="E24" s="187">
        <f>IFERROR('Tablas PERNOCTA zona'!E24/'Tablas PERNOCTA zona'!E37-1,"-")</f>
        <v>-0.1981368774955734</v>
      </c>
      <c r="F24" s="187">
        <f>IFERROR('Tablas PERNOCTA zona'!F24/'Tablas PERNOCTA zona'!F37-1,"-")</f>
        <v>-0.17766683546607032</v>
      </c>
      <c r="G24" s="187">
        <f>IFERROR('Tablas PERNOCTA zona'!G24/'Tablas PERNOCTA zona'!G37-1,"-")</f>
        <v>-0.12974890697842945</v>
      </c>
      <c r="H24" s="187">
        <f>IFERROR('Tablas PERNOCTA zona'!H24/'Tablas PERNOCTA zona'!H37-1,"-")</f>
        <v>-0.15736474873752448</v>
      </c>
      <c r="I24" s="187">
        <f>IFERROR('Tablas PERNOCTA zona'!I24/'Tablas PERNOCTA zona'!I37-1,"-")</f>
        <v>-0.14255494646955558</v>
      </c>
      <c r="J24" s="187">
        <f>IFERROR('Tablas PERNOCTA zona'!J24/'Tablas PERNOCTA zona'!J37-1,"-")</f>
        <v>-0.15020017689279797</v>
      </c>
      <c r="K24" s="187">
        <f>IFERROR('Tablas PERNOCTA zona'!K24/'Tablas PERNOCTA zona'!K37-1,"-")</f>
        <v>-0.18088954140504754</v>
      </c>
      <c r="L24" s="187">
        <f>IFERROR('Tablas PERNOCTA zona'!L24/'Tablas PERNOCTA zona'!L37-1,"-")</f>
        <v>-0.16385121540279957</v>
      </c>
    </row>
    <row r="25" spans="3:12" hidden="1" outlineLevel="1">
      <c r="C25" s="51" t="s">
        <v>43</v>
      </c>
      <c r="D25" s="187">
        <f>IFERROR('Tablas PERNOCTA zona'!D25/'Tablas PERNOCTA zona'!D38-1,"-")</f>
        <v>-0.19977235992079367</v>
      </c>
      <c r="E25" s="187">
        <f>IFERROR('Tablas PERNOCTA zona'!E25/'Tablas PERNOCTA zona'!E38-1,"-")</f>
        <v>-0.20961369818884679</v>
      </c>
      <c r="F25" s="187">
        <f>IFERROR('Tablas PERNOCTA zona'!F25/'Tablas PERNOCTA zona'!F38-1,"-")</f>
        <v>-0.20338817271116283</v>
      </c>
      <c r="G25" s="187">
        <f>IFERROR('Tablas PERNOCTA zona'!G25/'Tablas PERNOCTA zona'!G38-1,"-")</f>
        <v>-0.12779249988285946</v>
      </c>
      <c r="H25" s="187">
        <f>IFERROR('Tablas PERNOCTA zona'!H25/'Tablas PERNOCTA zona'!H38-1,"-")</f>
        <v>-0.19360191815144523</v>
      </c>
      <c r="I25" s="187">
        <f>IFERROR('Tablas PERNOCTA zona'!I25/'Tablas PERNOCTA zona'!I38-1,"-")</f>
        <v>-0.15786014700108419</v>
      </c>
      <c r="J25" s="187">
        <f>IFERROR('Tablas PERNOCTA zona'!J25/'Tablas PERNOCTA zona'!J38-1,"-")</f>
        <v>-0.14723468162368059</v>
      </c>
      <c r="K25" s="187">
        <f>IFERROR('Tablas PERNOCTA zona'!K25/'Tablas PERNOCTA zona'!K38-1,"-")</f>
        <v>-0.19503367580078701</v>
      </c>
      <c r="L25" s="187">
        <f>IFERROR('Tablas PERNOCTA zona'!L25/'Tablas PERNOCTA zona'!L38-1,"-")</f>
        <v>-0.16802419155012427</v>
      </c>
    </row>
    <row r="26" spans="3:12" hidden="1" outlineLevel="1">
      <c r="C26" s="51" t="s">
        <v>44</v>
      </c>
      <c r="D26" s="187">
        <f>IFERROR('Tablas PERNOCTA zona'!D26/'Tablas PERNOCTA zona'!D39-1,"-")</f>
        <v>-0.23667058711421551</v>
      </c>
      <c r="E26" s="187">
        <f>IFERROR('Tablas PERNOCTA zona'!E26/'Tablas PERNOCTA zona'!E39-1,"-")</f>
        <v>-0.26834482599571041</v>
      </c>
      <c r="F26" s="187">
        <f>IFERROR('Tablas PERNOCTA zona'!F26/'Tablas PERNOCTA zona'!F39-1,"-")</f>
        <v>-0.24811887179820602</v>
      </c>
      <c r="G26" s="187">
        <f>IFERROR('Tablas PERNOCTA zona'!G26/'Tablas PERNOCTA zona'!G39-1,"-")</f>
        <v>-0.15968727964784735</v>
      </c>
      <c r="H26" s="187">
        <f>IFERROR('Tablas PERNOCTA zona'!H26/'Tablas PERNOCTA zona'!H39-1,"-")</f>
        <v>-0.17323916240180881</v>
      </c>
      <c r="I26" s="187">
        <f>IFERROR('Tablas PERNOCTA zona'!I26/'Tablas PERNOCTA zona'!I39-1,"-")</f>
        <v>-0.16561493001022776</v>
      </c>
      <c r="J26" s="187">
        <f>IFERROR('Tablas PERNOCTA zona'!J26/'Tablas PERNOCTA zona'!J39-1,"-")</f>
        <v>-0.17629464275355089</v>
      </c>
      <c r="K26" s="187">
        <f>IFERROR('Tablas PERNOCTA zona'!K26/'Tablas PERNOCTA zona'!K39-1,"-")</f>
        <v>-0.19423050510388895</v>
      </c>
      <c r="L26" s="187">
        <f>IFERROR('Tablas PERNOCTA zona'!L26/'Tablas PERNOCTA zona'!L39-1,"-")</f>
        <v>-0.18381636922596034</v>
      </c>
    </row>
    <row r="27" spans="3:12" hidden="1" outlineLevel="1">
      <c r="C27" s="51" t="s">
        <v>45</v>
      </c>
      <c r="D27" s="187">
        <f>IFERROR('Tablas PERNOCTA zona'!D27/'Tablas PERNOCTA zona'!D40-1,"-")</f>
        <v>-0.1926332002848673</v>
      </c>
      <c r="E27" s="187">
        <f>IFERROR('Tablas PERNOCTA zona'!E27/'Tablas PERNOCTA zona'!E40-1,"-")</f>
        <v>-0.11291487743545525</v>
      </c>
      <c r="F27" s="187">
        <f>IFERROR('Tablas PERNOCTA zona'!F27/'Tablas PERNOCTA zona'!F40-1,"-")</f>
        <v>-0.16406812804258264</v>
      </c>
      <c r="G27" s="187">
        <f>IFERROR('Tablas PERNOCTA zona'!G27/'Tablas PERNOCTA zona'!G40-1,"-")</f>
        <v>-0.10844898905265132</v>
      </c>
      <c r="H27" s="187">
        <f>IFERROR('Tablas PERNOCTA zona'!H27/'Tablas PERNOCTA zona'!H40-1,"-")</f>
        <v>-9.3853385285369351E-2</v>
      </c>
      <c r="I27" s="187">
        <f>IFERROR('Tablas PERNOCTA zona'!I27/'Tablas PERNOCTA zona'!I40-1,"-")</f>
        <v>-0.10177252742075449</v>
      </c>
      <c r="J27" s="187">
        <f>IFERROR('Tablas PERNOCTA zona'!J27/'Tablas PERNOCTA zona'!J40-1,"-")</f>
        <v>-0.14307976436575187</v>
      </c>
      <c r="K27" s="187">
        <f>IFERROR('Tablas PERNOCTA zona'!K27/'Tablas PERNOCTA zona'!K40-1,"-")</f>
        <v>-0.12624943149018031</v>
      </c>
      <c r="L27" s="187">
        <f>IFERROR('Tablas PERNOCTA zona'!L27/'Tablas PERNOCTA zona'!L40-1,"-")</f>
        <v>-0.13583689398582843</v>
      </c>
    </row>
    <row r="28" spans="3:12" hidden="1" outlineLevel="1">
      <c r="C28" s="51" t="s">
        <v>46</v>
      </c>
      <c r="D28" s="187">
        <f>IFERROR('Tablas PERNOCTA zona'!D28/'Tablas PERNOCTA zona'!D41-1,"-")</f>
        <v>-0.24217997798333968</v>
      </c>
      <c r="E28" s="187">
        <f>IFERROR('Tablas PERNOCTA zona'!E28/'Tablas PERNOCTA zona'!E41-1,"-")</f>
        <v>-0.21977161369782328</v>
      </c>
      <c r="F28" s="187">
        <f>IFERROR('Tablas PERNOCTA zona'!F28/'Tablas PERNOCTA zona'!F41-1,"-")</f>
        <v>-0.23331495125217727</v>
      </c>
      <c r="G28" s="187">
        <f>IFERROR('Tablas PERNOCTA zona'!G28/'Tablas PERNOCTA zona'!G41-1,"-")</f>
        <v>-0.18176347599971887</v>
      </c>
      <c r="H28" s="187">
        <f>IFERROR('Tablas PERNOCTA zona'!H28/'Tablas PERNOCTA zona'!H41-1,"-")</f>
        <v>-0.16373211809298782</v>
      </c>
      <c r="I28" s="187">
        <f>IFERROR('Tablas PERNOCTA zona'!I28/'Tablas PERNOCTA zona'!I41-1,"-")</f>
        <v>-0.17282195202344353</v>
      </c>
      <c r="J28" s="187">
        <f>IFERROR('Tablas PERNOCTA zona'!J28/'Tablas PERNOCTA zona'!J41-1,"-")</f>
        <v>-0.17948224822567727</v>
      </c>
      <c r="K28" s="187">
        <f>IFERROR('Tablas PERNOCTA zona'!K28/'Tablas PERNOCTA zona'!K41-1,"-")</f>
        <v>-0.1703522994811919</v>
      </c>
      <c r="L28" s="187">
        <f>IFERROR('Tablas PERNOCTA zona'!L28/'Tablas PERNOCTA zona'!L41-1,"-")</f>
        <v>-0.17517913745897196</v>
      </c>
    </row>
    <row r="29" spans="3:12" hidden="1" outlineLevel="1">
      <c r="C29" s="51" t="s">
        <v>47</v>
      </c>
      <c r="D29" s="187">
        <f>IFERROR('Tablas PERNOCTA zona'!D29/'Tablas PERNOCTA zona'!D42-1,"-")</f>
        <v>-0.21616578145657983</v>
      </c>
      <c r="E29" s="187">
        <f>IFERROR('Tablas PERNOCTA zona'!E29/'Tablas PERNOCTA zona'!E42-1,"-")</f>
        <v>-0.1910515620400679</v>
      </c>
      <c r="F29" s="187">
        <f>IFERROR('Tablas PERNOCTA zona'!F29/'Tablas PERNOCTA zona'!F42-1,"-")</f>
        <v>-0.20602548433773582</v>
      </c>
      <c r="G29" s="187">
        <f>IFERROR('Tablas PERNOCTA zona'!G29/'Tablas PERNOCTA zona'!G42-1,"-")</f>
        <v>-0.14468509256389783</v>
      </c>
      <c r="H29" s="187">
        <f>IFERROR('Tablas PERNOCTA zona'!H29/'Tablas PERNOCTA zona'!H42-1,"-")</f>
        <v>-0.17375596296727225</v>
      </c>
      <c r="I29" s="187">
        <f>IFERROR('Tablas PERNOCTA zona'!I29/'Tablas PERNOCTA zona'!I42-1,"-")</f>
        <v>-0.15942797645981455</v>
      </c>
      <c r="J29" s="187">
        <f>IFERROR('Tablas PERNOCTA zona'!J29/'Tablas PERNOCTA zona'!J42-1,"-")</f>
        <v>-0.15048496084835161</v>
      </c>
      <c r="K29" s="187">
        <f>IFERROR('Tablas PERNOCTA zona'!K29/'Tablas PERNOCTA zona'!K42-1,"-")</f>
        <v>-0.17127898072052172</v>
      </c>
      <c r="L29" s="187">
        <f>IFERROR('Tablas PERNOCTA zona'!L29/'Tablas PERNOCTA zona'!L42-1,"-")</f>
        <v>-0.16047434562851515</v>
      </c>
    </row>
    <row r="30" spans="3:12" hidden="1" outlineLevel="1">
      <c r="C30" s="51" t="s">
        <v>48</v>
      </c>
      <c r="D30" s="187">
        <f>IFERROR('Tablas PERNOCTA zona'!D30/'Tablas PERNOCTA zona'!D43-1,"-")</f>
        <v>-0.14756307179852468</v>
      </c>
      <c r="E30" s="187">
        <f>IFERROR('Tablas PERNOCTA zona'!E30/'Tablas PERNOCTA zona'!E43-1,"-")</f>
        <v>-0.13640786486320644</v>
      </c>
      <c r="F30" s="187">
        <f>IFERROR('Tablas PERNOCTA zona'!F30/'Tablas PERNOCTA zona'!F43-1,"-")</f>
        <v>-0.14317681089085155</v>
      </c>
      <c r="G30" s="187">
        <f>IFERROR('Tablas PERNOCTA zona'!G30/'Tablas PERNOCTA zona'!G43-1,"-")</f>
        <v>-9.1744942738018143E-2</v>
      </c>
      <c r="H30" s="187">
        <f>IFERROR('Tablas PERNOCTA zona'!H30/'Tablas PERNOCTA zona'!H43-1,"-")</f>
        <v>-0.11430367093109728</v>
      </c>
      <c r="I30" s="187">
        <f>IFERROR('Tablas PERNOCTA zona'!I30/'Tablas PERNOCTA zona'!I43-1,"-")</f>
        <v>-0.10283751135289398</v>
      </c>
      <c r="J30" s="187">
        <f>IFERROR('Tablas PERNOCTA zona'!J30/'Tablas PERNOCTA zona'!J43-1,"-")</f>
        <v>-8.5032255938552681E-2</v>
      </c>
      <c r="K30" s="187">
        <f>IFERROR('Tablas PERNOCTA zona'!K30/'Tablas PERNOCTA zona'!K43-1,"-")</f>
        <v>-0.11628429836692333</v>
      </c>
      <c r="L30" s="187">
        <f>IFERROR('Tablas PERNOCTA zona'!L30/'Tablas PERNOCTA zona'!L43-1,"-")</f>
        <v>-9.9811253323199511E-2</v>
      </c>
    </row>
    <row r="31" spans="3:12" collapsed="1">
      <c r="C31" s="132">
        <v>2009</v>
      </c>
      <c r="D31" s="323">
        <f>IFERROR('Tablas PERNOCTA zona'!D31/'Tablas PERNOCTA zona'!D44-1,"-")</f>
        <v>-0.16492856046213566</v>
      </c>
      <c r="E31" s="323">
        <f>IFERROR('Tablas PERNOCTA zona'!E31/'Tablas PERNOCTA zona'!E44-1,"-")</f>
        <v>-0.15924688631074813</v>
      </c>
      <c r="F31" s="323">
        <f>IFERROR('Tablas PERNOCTA zona'!F31/'Tablas PERNOCTA zona'!F44-1,"-")</f>
        <v>-0.16276246416833373</v>
      </c>
      <c r="G31" s="323">
        <f>IFERROR('Tablas PERNOCTA zona'!G31/'Tablas PERNOCTA zona'!G44-1,"-")</f>
        <v>-0.11465695922645203</v>
      </c>
      <c r="H31" s="323">
        <f>IFERROR('Tablas PERNOCTA zona'!H31/'Tablas PERNOCTA zona'!H44-1,"-")</f>
        <v>-0.13748799831945058</v>
      </c>
      <c r="I31" s="323">
        <f>IFERROR('Tablas PERNOCTA zona'!I31/'Tablas PERNOCTA zona'!I44-1,"-")</f>
        <v>-0.12550883331347717</v>
      </c>
      <c r="J31" s="323">
        <f>IFERROR('Tablas PERNOCTA zona'!J31/'Tablas PERNOCTA zona'!J44-1,"-")</f>
        <v>-0.12964341224210163</v>
      </c>
      <c r="K31" s="323">
        <f>IFERROR('Tablas PERNOCTA zona'!K31/'Tablas PERNOCTA zona'!K44-1,"-")</f>
        <v>-0.1550624012015529</v>
      </c>
      <c r="L31" s="323">
        <f>IFERROR('Tablas PERNOCTA zona'!L31/'Tablas PERNOCTA zona'!L44-1,"-")</f>
        <v>-0.1411573422777006</v>
      </c>
    </row>
    <row r="32" spans="3:12" hidden="1" outlineLevel="1">
      <c r="C32" s="51" t="s">
        <v>37</v>
      </c>
      <c r="D32" s="187">
        <f>IFERROR('Tablas PERNOCTA zona'!D32/'Tablas PERNOCTA zona'!D45-1,"-")</f>
        <v>-9.2610189582164937E-2</v>
      </c>
      <c r="E32" s="187">
        <f>IFERROR('Tablas PERNOCTA zona'!E32/'Tablas PERNOCTA zona'!E45-1,"-")</f>
        <v>-0.10530141723241249</v>
      </c>
      <c r="F32" s="187">
        <f>IFERROR('Tablas PERNOCTA zona'!F32/'Tablas PERNOCTA zona'!F45-1,"-")</f>
        <v>-9.7680844634016717E-2</v>
      </c>
      <c r="G32" s="187">
        <f>IFERROR('Tablas PERNOCTA zona'!G32/'Tablas PERNOCTA zona'!G45-1,"-")</f>
        <v>-4.7054235305089454E-2</v>
      </c>
      <c r="H32" s="187">
        <f>IFERROR('Tablas PERNOCTA zona'!H32/'Tablas PERNOCTA zona'!H45-1,"-")</f>
        <v>-9.6997037091354876E-2</v>
      </c>
      <c r="I32" s="187">
        <f>IFERROR('Tablas PERNOCTA zona'!I32/'Tablas PERNOCTA zona'!I45-1,"-")</f>
        <v>-7.2288807089450402E-2</v>
      </c>
      <c r="J32" s="187">
        <f>IFERROR('Tablas PERNOCTA zona'!J32/'Tablas PERNOCTA zona'!J45-1,"-")</f>
        <v>-4.3343871906311726E-2</v>
      </c>
      <c r="K32" s="187">
        <f>IFERROR('Tablas PERNOCTA zona'!K32/'Tablas PERNOCTA zona'!K45-1,"-")</f>
        <v>-0.10478583187121915</v>
      </c>
      <c r="L32" s="187">
        <f>IFERROR('Tablas PERNOCTA zona'!L32/'Tablas PERNOCTA zona'!L45-1,"-")</f>
        <v>-7.3087376260990933E-2</v>
      </c>
    </row>
    <row r="33" spans="3:12" hidden="1" outlineLevel="1">
      <c r="C33" s="51" t="s">
        <v>38</v>
      </c>
      <c r="D33" s="187">
        <f>IFERROR('Tablas PERNOCTA zona'!D33/'Tablas PERNOCTA zona'!D46-1,"-")</f>
        <v>-7.4374010431080828E-2</v>
      </c>
      <c r="E33" s="187">
        <f>IFERROR('Tablas PERNOCTA zona'!E33/'Tablas PERNOCTA zona'!E46-1,"-")</f>
        <v>-0.11972127365020768</v>
      </c>
      <c r="F33" s="187">
        <f>IFERROR('Tablas PERNOCTA zona'!F33/'Tablas PERNOCTA zona'!F46-1,"-")</f>
        <v>-9.2129046432750328E-2</v>
      </c>
      <c r="G33" s="187">
        <f>IFERROR('Tablas PERNOCTA zona'!G33/'Tablas PERNOCTA zona'!G46-1,"-")</f>
        <v>-6.3930765125122302E-2</v>
      </c>
      <c r="H33" s="187">
        <f>IFERROR('Tablas PERNOCTA zona'!H33/'Tablas PERNOCTA zona'!H46-1,"-")</f>
        <v>-6.9296700946032241E-2</v>
      </c>
      <c r="I33" s="187">
        <f>IFERROR('Tablas PERNOCTA zona'!I33/'Tablas PERNOCTA zona'!I46-1,"-")</f>
        <v>-6.657308147488239E-2</v>
      </c>
      <c r="J33" s="187">
        <f>IFERROR('Tablas PERNOCTA zona'!J33/'Tablas PERNOCTA zona'!J46-1,"-")</f>
        <v>-6.4776170247908271E-2</v>
      </c>
      <c r="K33" s="187">
        <f>IFERROR('Tablas PERNOCTA zona'!K33/'Tablas PERNOCTA zona'!K46-1,"-")</f>
        <v>-7.1143047241964852E-2</v>
      </c>
      <c r="L33" s="187">
        <f>IFERROR('Tablas PERNOCTA zona'!L33/'Tablas PERNOCTA zona'!L46-1,"-")</f>
        <v>-6.7762877199155191E-2</v>
      </c>
    </row>
    <row r="34" spans="3:12" hidden="1" outlineLevel="1">
      <c r="C34" s="51" t="s">
        <v>39</v>
      </c>
      <c r="D34" s="187">
        <f>IFERROR('Tablas PERNOCTA zona'!D34/'Tablas PERNOCTA zona'!D47-1,"-")</f>
        <v>-5.0534345963116012E-2</v>
      </c>
      <c r="E34" s="187">
        <f>IFERROR('Tablas PERNOCTA zona'!E34/'Tablas PERNOCTA zona'!E47-1,"-")</f>
        <v>-8.6315227022424557E-2</v>
      </c>
      <c r="F34" s="187">
        <f>IFERROR('Tablas PERNOCTA zona'!F34/'Tablas PERNOCTA zona'!F47-1,"-")</f>
        <v>-6.4076357689890395E-2</v>
      </c>
      <c r="G34" s="187">
        <f>IFERROR('Tablas PERNOCTA zona'!G34/'Tablas PERNOCTA zona'!G47-1,"-")</f>
        <v>-2.0133512617825255E-2</v>
      </c>
      <c r="H34" s="187">
        <f>IFERROR('Tablas PERNOCTA zona'!H34/'Tablas PERNOCTA zona'!H47-1,"-")</f>
        <v>-6.1763700110104458E-2</v>
      </c>
      <c r="I34" s="187">
        <f>IFERROR('Tablas PERNOCTA zona'!I34/'Tablas PERNOCTA zona'!I47-1,"-")</f>
        <v>-3.9894401683865044E-2</v>
      </c>
      <c r="J34" s="187">
        <f>IFERROR('Tablas PERNOCTA zona'!J34/'Tablas PERNOCTA zona'!J47-1,"-")</f>
        <v>-2.433412392465728E-2</v>
      </c>
      <c r="K34" s="187">
        <f>IFERROR('Tablas PERNOCTA zona'!K34/'Tablas PERNOCTA zona'!K47-1,"-")</f>
        <v>-6.9402096896855281E-2</v>
      </c>
      <c r="L34" s="187">
        <f>IFERROR('Tablas PERNOCTA zona'!L34/'Tablas PERNOCTA zona'!L47-1,"-")</f>
        <v>-4.4851448513034131E-2</v>
      </c>
    </row>
    <row r="35" spans="3:12" hidden="1" outlineLevel="1">
      <c r="C35" s="51" t="s">
        <v>40</v>
      </c>
      <c r="D35" s="187">
        <f>IFERROR('Tablas PERNOCTA zona'!D35/'Tablas PERNOCTA zona'!D48-1,"-")</f>
        <v>-4.7069527389957067E-2</v>
      </c>
      <c r="E35" s="187">
        <f>IFERROR('Tablas PERNOCTA zona'!E35/'Tablas PERNOCTA zona'!E48-1,"-")</f>
        <v>-3.0091160102884262E-2</v>
      </c>
      <c r="F35" s="187">
        <f>IFERROR('Tablas PERNOCTA zona'!F35/'Tablas PERNOCTA zona'!F48-1,"-")</f>
        <v>-4.1001741144490844E-2</v>
      </c>
      <c r="G35" s="187">
        <f>IFERROR('Tablas PERNOCTA zona'!G35/'Tablas PERNOCTA zona'!G48-1,"-")</f>
        <v>-1.774822643000451E-2</v>
      </c>
      <c r="H35" s="187">
        <f>IFERROR('Tablas PERNOCTA zona'!H35/'Tablas PERNOCTA zona'!H48-1,"-")</f>
        <v>-4.2480768394975832E-2</v>
      </c>
      <c r="I35" s="187">
        <f>IFERROR('Tablas PERNOCTA zona'!I35/'Tablas PERNOCTA zona'!I48-1,"-")</f>
        <v>-2.8917472132384381E-2</v>
      </c>
      <c r="J35" s="187">
        <f>IFERROR('Tablas PERNOCTA zona'!J35/'Tablas PERNOCTA zona'!J48-1,"-")</f>
        <v>-3.2166060209772973E-2</v>
      </c>
      <c r="K35" s="187">
        <f>IFERROR('Tablas PERNOCTA zona'!K35/'Tablas PERNOCTA zona'!K48-1,"-")</f>
        <v>-5.2931296604647793E-2</v>
      </c>
      <c r="L35" s="187">
        <f>IFERROR('Tablas PERNOCTA zona'!L35/'Tablas PERNOCTA zona'!L48-1,"-")</f>
        <v>-4.1075012121172594E-2</v>
      </c>
    </row>
    <row r="36" spans="3:12" ht="15" hidden="1" customHeight="1" outlineLevel="1">
      <c r="C36" s="51" t="s">
        <v>41</v>
      </c>
      <c r="D36" s="187">
        <f>IFERROR('Tablas PERNOCTA zona'!D36/'Tablas PERNOCTA zona'!D49-1,"-")</f>
        <v>-3.0221030391678894E-2</v>
      </c>
      <c r="E36" s="187">
        <f>IFERROR('Tablas PERNOCTA zona'!E36/'Tablas PERNOCTA zona'!E49-1,"-")</f>
        <v>-1.2807841009916165E-2</v>
      </c>
      <c r="F36" s="187">
        <f>IFERROR('Tablas PERNOCTA zona'!F36/'Tablas PERNOCTA zona'!F49-1,"-")</f>
        <v>-2.3279694132551931E-2</v>
      </c>
      <c r="G36" s="187">
        <f>IFERROR('Tablas PERNOCTA zona'!G36/'Tablas PERNOCTA zona'!G49-1,"-")</f>
        <v>-1.2587797968405812E-2</v>
      </c>
      <c r="H36" s="187">
        <f>IFERROR('Tablas PERNOCTA zona'!H36/'Tablas PERNOCTA zona'!H49-1,"-")</f>
        <v>-1.7112818228728899E-2</v>
      </c>
      <c r="I36" s="187">
        <f>IFERROR('Tablas PERNOCTA zona'!I36/'Tablas PERNOCTA zona'!I49-1,"-")</f>
        <v>-1.4780823028217815E-2</v>
      </c>
      <c r="J36" s="187">
        <f>IFERROR('Tablas PERNOCTA zona'!J36/'Tablas PERNOCTA zona'!J49-1,"-")</f>
        <v>-1.7945388519283956E-2</v>
      </c>
      <c r="K36" s="187">
        <f>IFERROR('Tablas PERNOCTA zona'!K36/'Tablas PERNOCTA zona'!K49-1,"-")</f>
        <v>-1.6848196488104317E-2</v>
      </c>
      <c r="L36" s="187">
        <f>IFERROR('Tablas PERNOCTA zona'!L36/'Tablas PERNOCTA zona'!L49-1,"-")</f>
        <v>-1.7439634036220064E-2</v>
      </c>
    </row>
    <row r="37" spans="3:12" ht="15" hidden="1" customHeight="1" outlineLevel="1">
      <c r="C37" s="51" t="s">
        <v>42</v>
      </c>
      <c r="D37" s="187">
        <f>IFERROR('Tablas PERNOCTA zona'!D37/'Tablas PERNOCTA zona'!D50-1,"-")</f>
        <v>5.2105371910107223E-2</v>
      </c>
      <c r="E37" s="187">
        <f>IFERROR('Tablas PERNOCTA zona'!E37/'Tablas PERNOCTA zona'!E50-1,"-")</f>
        <v>6.9354291595039363E-2</v>
      </c>
      <c r="F37" s="187">
        <f>IFERROR('Tablas PERNOCTA zona'!F37/'Tablas PERNOCTA zona'!F50-1,"-")</f>
        <v>5.8478364463779631E-2</v>
      </c>
      <c r="G37" s="187">
        <f>IFERROR('Tablas PERNOCTA zona'!G37/'Tablas PERNOCTA zona'!G50-1,"-")</f>
        <v>8.2272330085348733E-2</v>
      </c>
      <c r="H37" s="187">
        <f>IFERROR('Tablas PERNOCTA zona'!H37/'Tablas PERNOCTA zona'!H50-1,"-")</f>
        <v>3.8409073603370647E-2</v>
      </c>
      <c r="I37" s="187">
        <f>IFERROR('Tablas PERNOCTA zona'!I37/'Tablas PERNOCTA zona'!I50-1,"-")</f>
        <v>6.1480112560166278E-2</v>
      </c>
      <c r="J37" s="187">
        <f>IFERROR('Tablas PERNOCTA zona'!J37/'Tablas PERNOCTA zona'!J50-1,"-")</f>
        <v>4.5682148507975029E-2</v>
      </c>
      <c r="K37" s="187">
        <f>IFERROR('Tablas PERNOCTA zona'!K37/'Tablas PERNOCTA zona'!K50-1,"-")</f>
        <v>1.6319586749147019E-2</v>
      </c>
      <c r="L37" s="187">
        <f>IFERROR('Tablas PERNOCTA zona'!L37/'Tablas PERNOCTA zona'!L50-1,"-")</f>
        <v>3.2414452282811146E-2</v>
      </c>
    </row>
    <row r="38" spans="3:12" ht="15" hidden="1" customHeight="1" outlineLevel="1">
      <c r="C38" s="51" t="s">
        <v>43</v>
      </c>
      <c r="D38" s="187">
        <f>IFERROR('Tablas PERNOCTA zona'!D38/'Tablas PERNOCTA zona'!D51-1,"-")</f>
        <v>0.10014322920389152</v>
      </c>
      <c r="E38" s="187">
        <f>IFERROR('Tablas PERNOCTA zona'!E38/'Tablas PERNOCTA zona'!E51-1,"-")</f>
        <v>0.121912286602047</v>
      </c>
      <c r="F38" s="187">
        <f>IFERROR('Tablas PERNOCTA zona'!F38/'Tablas PERNOCTA zona'!F51-1,"-")</f>
        <v>0.10804253505426176</v>
      </c>
      <c r="G38" s="187">
        <f>IFERROR('Tablas PERNOCTA zona'!G38/'Tablas PERNOCTA zona'!G51-1,"-")</f>
        <v>7.605215160170653E-2</v>
      </c>
      <c r="H38" s="187">
        <f>IFERROR('Tablas PERNOCTA zona'!H38/'Tablas PERNOCTA zona'!H51-1,"-")</f>
        <v>7.5657159594610945E-2</v>
      </c>
      <c r="I38" s="187">
        <f>IFERROR('Tablas PERNOCTA zona'!I38/'Tablas PERNOCTA zona'!I51-1,"-")</f>
        <v>7.5871647825943356E-2</v>
      </c>
      <c r="J38" s="187">
        <f>IFERROR('Tablas PERNOCTA zona'!J38/'Tablas PERNOCTA zona'!J51-1,"-")</f>
        <v>5.1291399508267776E-2</v>
      </c>
      <c r="K38" s="187">
        <f>IFERROR('Tablas PERNOCTA zona'!K38/'Tablas PERNOCTA zona'!K51-1,"-")</f>
        <v>5.5669331513616749E-2</v>
      </c>
      <c r="L38" s="187">
        <f>IFERROR('Tablas PERNOCTA zona'!L38/'Tablas PERNOCTA zona'!L51-1,"-")</f>
        <v>5.3191050247438643E-2</v>
      </c>
    </row>
    <row r="39" spans="3:12" hidden="1" outlineLevel="1">
      <c r="C39" s="51" t="s">
        <v>44</v>
      </c>
      <c r="D39" s="187">
        <f>IFERROR('Tablas PERNOCTA zona'!D39/'Tablas PERNOCTA zona'!D52-1,"-")</f>
        <v>0.21126629172444433</v>
      </c>
      <c r="E39" s="187">
        <f>IFERROR('Tablas PERNOCTA zona'!E39/'Tablas PERNOCTA zona'!E52-1,"-")</f>
        <v>0.1633759662156542</v>
      </c>
      <c r="F39" s="187">
        <f>IFERROR('Tablas PERNOCTA zona'!F39/'Tablas PERNOCTA zona'!F52-1,"-")</f>
        <v>0.19350856074096923</v>
      </c>
      <c r="G39" s="187">
        <f>IFERROR('Tablas PERNOCTA zona'!G39/'Tablas PERNOCTA zona'!G52-1,"-")</f>
        <v>0.13061833868402961</v>
      </c>
      <c r="H39" s="187">
        <f>IFERROR('Tablas PERNOCTA zona'!H39/'Tablas PERNOCTA zona'!H52-1,"-")</f>
        <v>2.0388543361718803E-2</v>
      </c>
      <c r="I39" s="187">
        <f>IFERROR('Tablas PERNOCTA zona'!I39/'Tablas PERNOCTA zona'!I52-1,"-")</f>
        <v>7.9605279267366935E-2</v>
      </c>
      <c r="J39" s="187">
        <f>IFERROR('Tablas PERNOCTA zona'!J39/'Tablas PERNOCTA zona'!J52-1,"-")</f>
        <v>0.13424943807212686</v>
      </c>
      <c r="K39" s="187">
        <f>IFERROR('Tablas PERNOCTA zona'!K39/'Tablas PERNOCTA zona'!K52-1,"-")</f>
        <v>4.6445033166018446E-2</v>
      </c>
      <c r="L39" s="187">
        <f>IFERROR('Tablas PERNOCTA zona'!L39/'Tablas PERNOCTA zona'!L52-1,"-")</f>
        <v>9.5694103058083568E-2</v>
      </c>
    </row>
    <row r="40" spans="3:12" hidden="1" outlineLevel="1">
      <c r="C40" s="51" t="s">
        <v>45</v>
      </c>
      <c r="D40" s="187">
        <f>IFERROR('Tablas PERNOCTA zona'!D40/'Tablas PERNOCTA zona'!D53-1,"-")</f>
        <v>6.5505497026488113E-2</v>
      </c>
      <c r="E40" s="187">
        <f>IFERROR('Tablas PERNOCTA zona'!E40/'Tablas PERNOCTA zona'!E53-1,"-")</f>
        <v>-6.2834781987190391E-2</v>
      </c>
      <c r="F40" s="187">
        <f>IFERROR('Tablas PERNOCTA zona'!F40/'Tablas PERNOCTA zona'!F53-1,"-")</f>
        <v>1.5665862775091188E-2</v>
      </c>
      <c r="G40" s="187">
        <f>IFERROR('Tablas PERNOCTA zona'!G40/'Tablas PERNOCTA zona'!G53-1,"-")</f>
        <v>4.6855000579135497E-2</v>
      </c>
      <c r="H40" s="187">
        <f>IFERROR('Tablas PERNOCTA zona'!H40/'Tablas PERNOCTA zona'!H53-1,"-")</f>
        <v>-3.1507572210718759E-2</v>
      </c>
      <c r="I40" s="187">
        <f>IFERROR('Tablas PERNOCTA zona'!I40/'Tablas PERNOCTA zona'!I53-1,"-")</f>
        <v>9.4921755139614206E-3</v>
      </c>
      <c r="J40" s="187">
        <f>IFERROR('Tablas PERNOCTA zona'!J40/'Tablas PERNOCTA zona'!J53-1,"-")</f>
        <v>5.4774182052441889E-2</v>
      </c>
      <c r="K40" s="187">
        <f>IFERROR('Tablas PERNOCTA zona'!K40/'Tablas PERNOCTA zona'!K53-1,"-")</f>
        <v>-1.6239190118536362E-2</v>
      </c>
      <c r="L40" s="187">
        <f>IFERROR('Tablas PERNOCTA zona'!L40/'Tablas PERNOCTA zona'!L53-1,"-")</f>
        <v>2.2995041009888029E-2</v>
      </c>
    </row>
    <row r="41" spans="3:12" hidden="1" outlineLevel="1">
      <c r="C41" s="51" t="s">
        <v>46</v>
      </c>
      <c r="D41" s="187">
        <f>IFERROR('Tablas PERNOCTA zona'!D41/'Tablas PERNOCTA zona'!D54-1,"-")</f>
        <v>0.11554463974779594</v>
      </c>
      <c r="E41" s="187">
        <f>IFERROR('Tablas PERNOCTA zona'!E41/'Tablas PERNOCTA zona'!E54-1,"-")</f>
        <v>-3.3555927657956675E-3</v>
      </c>
      <c r="F41" s="187">
        <f>IFERROR('Tablas PERNOCTA zona'!F41/'Tablas PERNOCTA zona'!F54-1,"-")</f>
        <v>6.5267447166076353E-2</v>
      </c>
      <c r="G41" s="187">
        <f>IFERROR('Tablas PERNOCTA zona'!G41/'Tablas PERNOCTA zona'!G54-1,"-")</f>
        <v>5.6954859915915756E-2</v>
      </c>
      <c r="H41" s="187">
        <f>IFERROR('Tablas PERNOCTA zona'!H41/'Tablas PERNOCTA zona'!H54-1,"-")</f>
        <v>3.2438943592263181E-2</v>
      </c>
      <c r="I41" s="187">
        <f>IFERROR('Tablas PERNOCTA zona'!I41/'Tablas PERNOCTA zona'!I54-1,"-")</f>
        <v>4.4653891857810768E-2</v>
      </c>
      <c r="J41" s="187">
        <f>IFERROR('Tablas PERNOCTA zona'!J41/'Tablas PERNOCTA zona'!J54-1,"-")</f>
        <v>3.8621677420118461E-2</v>
      </c>
      <c r="K41" s="187">
        <f>IFERROR('Tablas PERNOCTA zona'!K41/'Tablas PERNOCTA zona'!K54-1,"-")</f>
        <v>2.2325420310153277E-2</v>
      </c>
      <c r="L41" s="187">
        <f>IFERROR('Tablas PERNOCTA zona'!L41/'Tablas PERNOCTA zona'!L54-1,"-")</f>
        <v>3.0876709520935686E-2</v>
      </c>
    </row>
    <row r="42" spans="3:12" hidden="1" outlineLevel="1">
      <c r="C42" s="51" t="s">
        <v>47</v>
      </c>
      <c r="D42" s="187">
        <f>IFERROR('Tablas PERNOCTA zona'!D42/'Tablas PERNOCTA zona'!D55-1,"-")</f>
        <v>0.11707459066751436</v>
      </c>
      <c r="E42" s="187">
        <f>IFERROR('Tablas PERNOCTA zona'!E42/'Tablas PERNOCTA zona'!E55-1,"-")</f>
        <v>3.7331209406103572E-2</v>
      </c>
      <c r="F42" s="187">
        <f>IFERROR('Tablas PERNOCTA zona'!F42/'Tablas PERNOCTA zona'!F55-1,"-")</f>
        <v>8.3445489163613606E-2</v>
      </c>
      <c r="G42" s="187">
        <f>IFERROR('Tablas PERNOCTA zona'!G42/'Tablas PERNOCTA zona'!G55-1,"-")</f>
        <v>7.5527298252223263E-2</v>
      </c>
      <c r="H42" s="187">
        <f>IFERROR('Tablas PERNOCTA zona'!H42/'Tablas PERNOCTA zona'!H55-1,"-")</f>
        <v>5.9773456535249014E-2</v>
      </c>
      <c r="I42" s="187">
        <f>IFERROR('Tablas PERNOCTA zona'!I42/'Tablas PERNOCTA zona'!I55-1,"-")</f>
        <v>6.7479862075915831E-2</v>
      </c>
      <c r="J42" s="187">
        <f>IFERROR('Tablas PERNOCTA zona'!J42/'Tablas PERNOCTA zona'!J55-1,"-")</f>
        <v>6.5803269287174615E-2</v>
      </c>
      <c r="K42" s="187">
        <f>IFERROR('Tablas PERNOCTA zona'!K42/'Tablas PERNOCTA zona'!K55-1,"-")</f>
        <v>5.2222453358514276E-2</v>
      </c>
      <c r="L42" s="187">
        <f>IFERROR('Tablas PERNOCTA zona'!L42/'Tablas PERNOCTA zona'!L55-1,"-")</f>
        <v>5.9235601833850238E-2</v>
      </c>
    </row>
    <row r="43" spans="3:12" hidden="1" outlineLevel="1">
      <c r="C43" s="51" t="s">
        <v>48</v>
      </c>
      <c r="D43" s="187">
        <f>IFERROR('Tablas PERNOCTA zona'!D43/'Tablas PERNOCTA zona'!D56-1,"-")</f>
        <v>6.0736829166596396E-2</v>
      </c>
      <c r="E43" s="187">
        <f>IFERROR('Tablas PERNOCTA zona'!E43/'Tablas PERNOCTA zona'!E56-1,"-")</f>
        <v>-7.5099921524409696E-3</v>
      </c>
      <c r="F43" s="187">
        <f>IFERROR('Tablas PERNOCTA zona'!F43/'Tablas PERNOCTA zona'!F56-1,"-")</f>
        <v>3.2811757979732681E-2</v>
      </c>
      <c r="G43" s="187">
        <f>IFERROR('Tablas PERNOCTA zona'!G43/'Tablas PERNOCTA zona'!G56-1,"-")</f>
        <v>2.1336213925212455E-2</v>
      </c>
      <c r="H43" s="187">
        <f>IFERROR('Tablas PERNOCTA zona'!H43/'Tablas PERNOCTA zona'!H56-1,"-")</f>
        <v>1.7697804638612702E-2</v>
      </c>
      <c r="I43" s="187">
        <f>IFERROR('Tablas PERNOCTA zona'!I43/'Tablas PERNOCTA zona'!I56-1,"-")</f>
        <v>1.9543891440610972E-2</v>
      </c>
      <c r="J43" s="187">
        <f>IFERROR('Tablas PERNOCTA zona'!J43/'Tablas PERNOCTA zona'!J56-1,"-")</f>
        <v>1.4990579261402015E-2</v>
      </c>
      <c r="K43" s="187">
        <f>IFERROR('Tablas PERNOCTA zona'!K43/'Tablas PERNOCTA zona'!K56-1,"-")</f>
        <v>1.5024427828462361E-2</v>
      </c>
      <c r="L43" s="187">
        <f>IFERROR('Tablas PERNOCTA zona'!L43/'Tablas PERNOCTA zona'!L56-1,"-")</f>
        <v>1.5006585866151667E-2</v>
      </c>
    </row>
    <row r="44" spans="3:12" collapsed="1">
      <c r="C44" s="134">
        <v>2008</v>
      </c>
      <c r="D44" s="324">
        <f>IFERROR('Tablas PERNOCTA zona'!D44/'Tablas PERNOCTA zona'!D57-1,"-")</f>
        <v>2.9414079821702632E-2</v>
      </c>
      <c r="E44" s="324">
        <f>IFERROR('Tablas PERNOCTA zona'!E44/'Tablas PERNOCTA zona'!E57-1,"-")</f>
        <v>-9.7703952295532526E-3</v>
      </c>
      <c r="F44" s="324">
        <f>IFERROR('Tablas PERNOCTA zona'!F44/'Tablas PERNOCTA zona'!F57-1,"-")</f>
        <v>1.411494936624913E-2</v>
      </c>
      <c r="G44" s="324">
        <f>IFERROR('Tablas PERNOCTA zona'!G44/'Tablas PERNOCTA zona'!G57-1,"-")</f>
        <v>2.4508717890355358E-2</v>
      </c>
      <c r="H44" s="324">
        <f>IFERROR('Tablas PERNOCTA zona'!H44/'Tablas PERNOCTA zona'!H57-1,"-")</f>
        <v>-7.7503859485132942E-3</v>
      </c>
      <c r="I44" s="324">
        <f>IFERROR('Tablas PERNOCTA zona'!I44/'Tablas PERNOCTA zona'!I57-1,"-")</f>
        <v>8.9179934483110124E-3</v>
      </c>
      <c r="J44" s="324">
        <f>IFERROR('Tablas PERNOCTA zona'!J44/'Tablas PERNOCTA zona'!J57-1,"-")</f>
        <v>1.5767408703919239E-2</v>
      </c>
      <c r="K44" s="324">
        <f>IFERROR('Tablas PERNOCTA zona'!K44/'Tablas PERNOCTA zona'!K57-1,"-")</f>
        <v>-1.214256123466384E-2</v>
      </c>
      <c r="L44" s="324">
        <f>IFERROR('Tablas PERNOCTA zona'!L44/'Tablas PERNOCTA zona'!L57-1,"-")</f>
        <v>2.9322277811290043E-3</v>
      </c>
    </row>
    <row r="45" spans="3:12" hidden="1" outlineLevel="1">
      <c r="C45" s="51" t="s">
        <v>37</v>
      </c>
      <c r="D45" s="187">
        <f>IFERROR('Tablas PERNOCTA zona'!D45/'Tablas PERNOCTA zona'!D58-1,"-")</f>
        <v>4.4419661698465118E-2</v>
      </c>
      <c r="E45" s="187">
        <f>IFERROR('Tablas PERNOCTA zona'!E45/'Tablas PERNOCTA zona'!E58-1,"-")</f>
        <v>2.6476905436115139E-2</v>
      </c>
      <c r="F45" s="187">
        <f>IFERROR('Tablas PERNOCTA zona'!F45/'Tablas PERNOCTA zona'!F58-1,"-")</f>
        <v>3.7176087664429813E-2</v>
      </c>
      <c r="G45" s="187">
        <f>IFERROR('Tablas PERNOCTA zona'!G45/'Tablas PERNOCTA zona'!G58-1,"-")</f>
        <v>3.6823249111050949E-4</v>
      </c>
      <c r="H45" s="187">
        <f>IFERROR('Tablas PERNOCTA zona'!H45/'Tablas PERNOCTA zona'!H58-1,"-")</f>
        <v>1.807626456732403E-2</v>
      </c>
      <c r="I45" s="187">
        <f>IFERROR('Tablas PERNOCTA zona'!I45/'Tablas PERNOCTA zona'!I58-1,"-")</f>
        <v>9.2378842504075021E-3</v>
      </c>
      <c r="J45" s="187">
        <f>IFERROR('Tablas PERNOCTA zona'!J45/'Tablas PERNOCTA zona'!J58-1,"-")</f>
        <v>2.0115212129172555E-3</v>
      </c>
      <c r="K45" s="187">
        <f>IFERROR('Tablas PERNOCTA zona'!K45/'Tablas PERNOCTA zona'!K58-1,"-")</f>
        <v>1.9982772870003718E-2</v>
      </c>
      <c r="L45" s="187">
        <f>IFERROR('Tablas PERNOCTA zona'!L45/'Tablas PERNOCTA zona'!L58-1,"-")</f>
        <v>1.0631483921937912E-2</v>
      </c>
    </row>
    <row r="46" spans="3:12" hidden="1" outlineLevel="1">
      <c r="C46" s="51" t="s">
        <v>38</v>
      </c>
      <c r="D46" s="187">
        <f>IFERROR('Tablas PERNOCTA zona'!D46/'Tablas PERNOCTA zona'!D59-1,"-")</f>
        <v>4.9253041238205508E-2</v>
      </c>
      <c r="E46" s="187">
        <f>IFERROR('Tablas PERNOCTA zona'!E46/'Tablas PERNOCTA zona'!E59-1,"-")</f>
        <v>3.7348370975308631E-2</v>
      </c>
      <c r="F46" s="187">
        <f>IFERROR('Tablas PERNOCTA zona'!F46/'Tablas PERNOCTA zona'!F59-1,"-")</f>
        <v>4.4559545594549999E-2</v>
      </c>
      <c r="G46" s="187">
        <f>IFERROR('Tablas PERNOCTA zona'!G46/'Tablas PERNOCTA zona'!G59-1,"-")</f>
        <v>4.4854161440684548E-2</v>
      </c>
      <c r="H46" s="187">
        <f>IFERROR('Tablas PERNOCTA zona'!H46/'Tablas PERNOCTA zona'!H59-1,"-")</f>
        <v>6.3808936205838052E-3</v>
      </c>
      <c r="I46" s="187">
        <f>IFERROR('Tablas PERNOCTA zona'!I46/'Tablas PERNOCTA zona'!I59-1,"-")</f>
        <v>2.5548170634625E-2</v>
      </c>
      <c r="J46" s="187">
        <f>IFERROR('Tablas PERNOCTA zona'!J46/'Tablas PERNOCTA zona'!J59-1,"-")</f>
        <v>3.0077534547082507E-2</v>
      </c>
      <c r="K46" s="187">
        <f>IFERROR('Tablas PERNOCTA zona'!K46/'Tablas PERNOCTA zona'!K59-1,"-")</f>
        <v>3.9804070372329026E-3</v>
      </c>
      <c r="L46" s="187">
        <f>IFERROR('Tablas PERNOCTA zona'!L46/'Tablas PERNOCTA zona'!L59-1,"-")</f>
        <v>1.7668444628620383E-2</v>
      </c>
    </row>
    <row r="47" spans="3:12" hidden="1" outlineLevel="1">
      <c r="C47" s="51" t="s">
        <v>39</v>
      </c>
      <c r="D47" s="187">
        <f>IFERROR('Tablas PERNOCTA zona'!D47/'Tablas PERNOCTA zona'!D60-1,"-")</f>
        <v>-2.0018076255187145E-2</v>
      </c>
      <c r="E47" s="187">
        <f>IFERROR('Tablas PERNOCTA zona'!E47/'Tablas PERNOCTA zona'!E60-1,"-")</f>
        <v>-2.7730332375289213E-2</v>
      </c>
      <c r="F47" s="187">
        <f>IFERROR('Tablas PERNOCTA zona'!F47/'Tablas PERNOCTA zona'!F60-1,"-")</f>
        <v>-2.2951285732561888E-2</v>
      </c>
      <c r="G47" s="187">
        <f>IFERROR('Tablas PERNOCTA zona'!G47/'Tablas PERNOCTA zona'!G60-1,"-")</f>
        <v>-3.651572175606288E-2</v>
      </c>
      <c r="H47" s="187">
        <f>IFERROR('Tablas PERNOCTA zona'!H47/'Tablas PERNOCTA zona'!H60-1,"-")</f>
        <v>-9.6108160912590668E-2</v>
      </c>
      <c r="I47" s="187">
        <f>IFERROR('Tablas PERNOCTA zona'!I47/'Tablas PERNOCTA zona'!I60-1,"-")</f>
        <v>-6.5752842078459328E-2</v>
      </c>
      <c r="J47" s="187">
        <f>IFERROR('Tablas PERNOCTA zona'!J47/'Tablas PERNOCTA zona'!J60-1,"-")</f>
        <v>-5.1335480587531568E-2</v>
      </c>
      <c r="K47" s="187">
        <f>IFERROR('Tablas PERNOCTA zona'!K47/'Tablas PERNOCTA zona'!K60-1,"-")</f>
        <v>-8.2617142268996191E-2</v>
      </c>
      <c r="L47" s="187">
        <f>IFERROR('Tablas PERNOCTA zona'!L47/'Tablas PERNOCTA zona'!L60-1,"-")</f>
        <v>-6.5837034579028564E-2</v>
      </c>
    </row>
    <row r="48" spans="3:12" hidden="1" outlineLevel="1">
      <c r="C48" s="51" t="s">
        <v>40</v>
      </c>
      <c r="D48" s="187">
        <f>IFERROR('Tablas PERNOCTA zona'!D48/'Tablas PERNOCTA zona'!D61-1,"-")</f>
        <v>-2.4842325190869485E-2</v>
      </c>
      <c r="E48" s="187">
        <f>IFERROR('Tablas PERNOCTA zona'!E48/'Tablas PERNOCTA zona'!E61-1,"-")</f>
        <v>-0.10689709228011224</v>
      </c>
      <c r="F48" s="187">
        <f>IFERROR('Tablas PERNOCTA zona'!F48/'Tablas PERNOCTA zona'!F61-1,"-")</f>
        <v>-5.5843672644990794E-2</v>
      </c>
      <c r="G48" s="187">
        <f>IFERROR('Tablas PERNOCTA zona'!G48/'Tablas PERNOCTA zona'!G61-1,"-")</f>
        <v>-2.6150948446766797E-2</v>
      </c>
      <c r="H48" s="187">
        <f>IFERROR('Tablas PERNOCTA zona'!H48/'Tablas PERNOCTA zona'!H61-1,"-")</f>
        <v>-0.12038987421907799</v>
      </c>
      <c r="I48" s="187">
        <f>IFERROR('Tablas PERNOCTA zona'!I48/'Tablas PERNOCTA zona'!I61-1,"-")</f>
        <v>-7.1094435115853782E-2</v>
      </c>
      <c r="J48" s="187">
        <f>IFERROR('Tablas PERNOCTA zona'!J48/'Tablas PERNOCTA zona'!J61-1,"-")</f>
        <v>-4.7924052403013229E-2</v>
      </c>
      <c r="K48" s="187">
        <f>IFERROR('Tablas PERNOCTA zona'!K48/'Tablas PERNOCTA zona'!K61-1,"-")</f>
        <v>-0.11251119560733835</v>
      </c>
      <c r="L48" s="187">
        <f>IFERROR('Tablas PERNOCTA zona'!L48/'Tablas PERNOCTA zona'!L61-1,"-")</f>
        <v>-7.6750556819058402E-2</v>
      </c>
    </row>
    <row r="49" spans="3:12" hidden="1" outlineLevel="1">
      <c r="C49" s="51" t="s">
        <v>41</v>
      </c>
      <c r="D49" s="187">
        <f>IFERROR('Tablas PERNOCTA zona'!D49/'Tablas PERNOCTA zona'!D62-1,"-")</f>
        <v>-3.4663586417749581E-2</v>
      </c>
      <c r="E49" s="187">
        <f>IFERROR('Tablas PERNOCTA zona'!E49/'Tablas PERNOCTA zona'!E62-1,"-")</f>
        <v>-8.7642746093706259E-2</v>
      </c>
      <c r="F49" s="187">
        <f>IFERROR('Tablas PERNOCTA zona'!F49/'Tablas PERNOCTA zona'!F62-1,"-")</f>
        <v>-5.6503218570596148E-2</v>
      </c>
      <c r="G49" s="187">
        <f>IFERROR('Tablas PERNOCTA zona'!G49/'Tablas PERNOCTA zona'!G62-1,"-")</f>
        <v>-3.492920720161552E-2</v>
      </c>
      <c r="H49" s="187">
        <f>IFERROR('Tablas PERNOCTA zona'!H49/'Tablas PERNOCTA zona'!H62-1,"-")</f>
        <v>-0.12563392457198075</v>
      </c>
      <c r="I49" s="187">
        <f>IFERROR('Tablas PERNOCTA zona'!I49/'Tablas PERNOCTA zona'!I62-1,"-")</f>
        <v>-8.1126382743591741E-2</v>
      </c>
      <c r="J49" s="187">
        <f>IFERROR('Tablas PERNOCTA zona'!J49/'Tablas PERNOCTA zona'!J62-1,"-")</f>
        <v>-3.4954478685411017E-2</v>
      </c>
      <c r="K49" s="187">
        <f>IFERROR('Tablas PERNOCTA zona'!K49/'Tablas PERNOCTA zona'!K62-1,"-")</f>
        <v>-0.10745544374088578</v>
      </c>
      <c r="L49" s="187">
        <f>IFERROR('Tablas PERNOCTA zona'!L49/'Tablas PERNOCTA zona'!L62-1,"-")</f>
        <v>-6.9784562610975764E-2</v>
      </c>
    </row>
    <row r="50" spans="3:12" hidden="1" outlineLevel="1">
      <c r="C50" s="51" t="s">
        <v>42</v>
      </c>
      <c r="D50" s="187">
        <f>IFERROR('Tablas PERNOCTA zona'!D50/'Tablas PERNOCTA zona'!D63-1,"-")</f>
        <v>-3.2927745752624915E-2</v>
      </c>
      <c r="E50" s="187">
        <f>IFERROR('Tablas PERNOCTA zona'!E50/'Tablas PERNOCTA zona'!E63-1,"-")</f>
        <v>-0.13950500829493695</v>
      </c>
      <c r="F50" s="187">
        <f>IFERROR('Tablas PERNOCTA zona'!F50/'Tablas PERNOCTA zona'!F63-1,"-")</f>
        <v>-7.5245645947676687E-2</v>
      </c>
      <c r="G50" s="187">
        <f>IFERROR('Tablas PERNOCTA zona'!G50/'Tablas PERNOCTA zona'!G63-1,"-")</f>
        <v>-5.3027189748947268E-2</v>
      </c>
      <c r="H50" s="187">
        <f>IFERROR('Tablas PERNOCTA zona'!H50/'Tablas PERNOCTA zona'!H63-1,"-")</f>
        <v>-0.12484165285227955</v>
      </c>
      <c r="I50" s="187">
        <f>IFERROR('Tablas PERNOCTA zona'!I50/'Tablas PERNOCTA zona'!I63-1,"-")</f>
        <v>-8.8483202398439764E-2</v>
      </c>
      <c r="J50" s="187">
        <f>IFERROR('Tablas PERNOCTA zona'!J50/'Tablas PERNOCTA zona'!J63-1,"-")</f>
        <v>-6.3728045683160262E-2</v>
      </c>
      <c r="K50" s="187">
        <f>IFERROR('Tablas PERNOCTA zona'!K50/'Tablas PERNOCTA zona'!K63-1,"-")</f>
        <v>-0.11107205605125214</v>
      </c>
      <c r="L50" s="187">
        <f>IFERROR('Tablas PERNOCTA zona'!L50/'Tablas PERNOCTA zona'!L63-1,"-")</f>
        <v>-8.5730656550322304E-2</v>
      </c>
    </row>
    <row r="51" spans="3:12" hidden="1" outlineLevel="1">
      <c r="C51" s="51" t="s">
        <v>43</v>
      </c>
      <c r="D51" s="187">
        <f>IFERROR('Tablas PERNOCTA zona'!D51/'Tablas PERNOCTA zona'!D64-1,"-")</f>
        <v>-7.0413477036657124E-2</v>
      </c>
      <c r="E51" s="187">
        <f>IFERROR('Tablas PERNOCTA zona'!E51/'Tablas PERNOCTA zona'!E64-1,"-")</f>
        <v>-0.11151497852565107</v>
      </c>
      <c r="F51" s="187">
        <f>IFERROR('Tablas PERNOCTA zona'!F51/'Tablas PERNOCTA zona'!F64-1,"-")</f>
        <v>-8.5760246991909317E-2</v>
      </c>
      <c r="G51" s="187">
        <f>IFERROR('Tablas PERNOCTA zona'!G51/'Tablas PERNOCTA zona'!G64-1,"-")</f>
        <v>-7.4073470270943242E-2</v>
      </c>
      <c r="H51" s="187">
        <f>IFERROR('Tablas PERNOCTA zona'!H51/'Tablas PERNOCTA zona'!H64-1,"-")</f>
        <v>-0.1081856069151399</v>
      </c>
      <c r="I51" s="187">
        <f>IFERROR('Tablas PERNOCTA zona'!I51/'Tablas PERNOCTA zona'!I64-1,"-")</f>
        <v>-8.9980285260612192E-2</v>
      </c>
      <c r="J51" s="187">
        <f>IFERROR('Tablas PERNOCTA zona'!J51/'Tablas PERNOCTA zona'!J64-1,"-")</f>
        <v>-7.3677018376969827E-2</v>
      </c>
      <c r="K51" s="187">
        <f>IFERROR('Tablas PERNOCTA zona'!K51/'Tablas PERNOCTA zona'!K64-1,"-")</f>
        <v>-8.7916185346202935E-2</v>
      </c>
      <c r="L51" s="187">
        <f>IFERROR('Tablas PERNOCTA zona'!L51/'Tablas PERNOCTA zona'!L64-1,"-")</f>
        <v>-7.9909843855735074E-2</v>
      </c>
    </row>
    <row r="52" spans="3:12" hidden="1" outlineLevel="1">
      <c r="C52" s="51" t="s">
        <v>44</v>
      </c>
      <c r="D52" s="187">
        <f>IFERROR('Tablas PERNOCTA zona'!D52/'Tablas PERNOCTA zona'!D65-1,"-")</f>
        <v>-0.11238653141192256</v>
      </c>
      <c r="E52" s="187">
        <f>IFERROR('Tablas PERNOCTA zona'!E52/'Tablas PERNOCTA zona'!E65-1,"-")</f>
        <v>-0.10705079060852896</v>
      </c>
      <c r="F52" s="187">
        <f>IFERROR('Tablas PERNOCTA zona'!F52/'Tablas PERNOCTA zona'!F65-1,"-")</f>
        <v>-0.11041549402972928</v>
      </c>
      <c r="G52" s="187">
        <f>IFERROR('Tablas PERNOCTA zona'!G52/'Tablas PERNOCTA zona'!G65-1,"-")</f>
        <v>-8.8617050127053787E-2</v>
      </c>
      <c r="H52" s="187">
        <f>IFERROR('Tablas PERNOCTA zona'!H52/'Tablas PERNOCTA zona'!H65-1,"-")</f>
        <v>-8.6943166042733666E-2</v>
      </c>
      <c r="I52" s="187">
        <f>IFERROR('Tablas PERNOCTA zona'!I52/'Tablas PERNOCTA zona'!I65-1,"-")</f>
        <v>-8.7843159730811693E-2</v>
      </c>
      <c r="J52" s="187">
        <f>IFERROR('Tablas PERNOCTA zona'!J52/'Tablas PERNOCTA zona'!J65-1,"-")</f>
        <v>-0.1096378836611186</v>
      </c>
      <c r="K52" s="187">
        <f>IFERROR('Tablas PERNOCTA zona'!K52/'Tablas PERNOCTA zona'!K65-1,"-")</f>
        <v>-7.2388604877987928E-2</v>
      </c>
      <c r="L52" s="187">
        <f>IFERROR('Tablas PERNOCTA zona'!L52/'Tablas PERNOCTA zona'!L65-1,"-")</f>
        <v>-9.3656559277397911E-2</v>
      </c>
    </row>
    <row r="53" spans="3:12" hidden="1" outlineLevel="1">
      <c r="C53" s="51" t="s">
        <v>45</v>
      </c>
      <c r="D53" s="187">
        <f>IFERROR('Tablas PERNOCTA zona'!D53/'Tablas PERNOCTA zona'!D66-1,"-")</f>
        <v>-6.8861948641387616E-2</v>
      </c>
      <c r="E53" s="187">
        <f>IFERROR('Tablas PERNOCTA zona'!E53/'Tablas PERNOCTA zona'!E66-1,"-")</f>
        <v>-8.9991616922254214E-2</v>
      </c>
      <c r="F53" s="187">
        <f>IFERROR('Tablas PERNOCTA zona'!F53/'Tablas PERNOCTA zona'!F66-1,"-")</f>
        <v>-7.7182934247832624E-2</v>
      </c>
      <c r="G53" s="187">
        <f>IFERROR('Tablas PERNOCTA zona'!G53/'Tablas PERNOCTA zona'!G66-1,"-")</f>
        <v>-8.1977208625269471E-2</v>
      </c>
      <c r="H53" s="187">
        <f>IFERROR('Tablas PERNOCTA zona'!H53/'Tablas PERNOCTA zona'!H66-1,"-")</f>
        <v>-0.10008600269880519</v>
      </c>
      <c r="I53" s="187">
        <f>IFERROR('Tablas PERNOCTA zona'!I53/'Tablas PERNOCTA zona'!I66-1,"-")</f>
        <v>-9.0701417552964236E-2</v>
      </c>
      <c r="J53" s="187">
        <f>IFERROR('Tablas PERNOCTA zona'!J53/'Tablas PERNOCTA zona'!J66-1,"-")</f>
        <v>-5.9357304205217121E-2</v>
      </c>
      <c r="K53" s="187">
        <f>IFERROR('Tablas PERNOCTA zona'!K53/'Tablas PERNOCTA zona'!K66-1,"-")</f>
        <v>-0.10179409903202918</v>
      </c>
      <c r="L53" s="187">
        <f>IFERROR('Tablas PERNOCTA zona'!L53/'Tablas PERNOCTA zona'!L66-1,"-")</f>
        <v>-7.8833618272889594E-2</v>
      </c>
    </row>
    <row r="54" spans="3:12" hidden="1" outlineLevel="1">
      <c r="C54" s="51" t="s">
        <v>46</v>
      </c>
      <c r="D54" s="187">
        <f>IFERROR('Tablas PERNOCTA zona'!D54/'Tablas PERNOCTA zona'!D67-1,"-")</f>
        <v>-2.660819548120974E-2</v>
      </c>
      <c r="E54" s="187">
        <f>IFERROR('Tablas PERNOCTA zona'!E54/'Tablas PERNOCTA zona'!E67-1,"-")</f>
        <v>2.856722329265704E-3</v>
      </c>
      <c r="F54" s="187">
        <f>IFERROR('Tablas PERNOCTA zona'!F54/'Tablas PERNOCTA zona'!F67-1,"-")</f>
        <v>-1.4362830554327521E-2</v>
      </c>
      <c r="G54" s="187">
        <f>IFERROR('Tablas PERNOCTA zona'!G54/'Tablas PERNOCTA zona'!G67-1,"-")</f>
        <v>8.6028528812587268E-4</v>
      </c>
      <c r="H54" s="187">
        <f>IFERROR('Tablas PERNOCTA zona'!H54/'Tablas PERNOCTA zona'!H67-1,"-")</f>
        <v>-6.726095116483366E-3</v>
      </c>
      <c r="I54" s="187">
        <f>IFERROR('Tablas PERNOCTA zona'!I54/'Tablas PERNOCTA zona'!I67-1,"-")</f>
        <v>-2.96064444920352E-3</v>
      </c>
      <c r="J54" s="187">
        <f>IFERROR('Tablas PERNOCTA zona'!J54/'Tablas PERNOCTA zona'!J67-1,"-")</f>
        <v>2.4161026045161904E-3</v>
      </c>
      <c r="K54" s="187">
        <f>IFERROR('Tablas PERNOCTA zona'!K54/'Tablas PERNOCTA zona'!K67-1,"-")</f>
        <v>-5.8806492912417685E-3</v>
      </c>
      <c r="L54" s="187">
        <f>IFERROR('Tablas PERNOCTA zona'!L54/'Tablas PERNOCTA zona'!L67-1,"-")</f>
        <v>-1.5442163722078073E-3</v>
      </c>
    </row>
    <row r="55" spans="3:12" hidden="1" outlineLevel="1">
      <c r="C55" s="51" t="s">
        <v>47</v>
      </c>
      <c r="D55" s="187">
        <f>IFERROR('Tablas PERNOCTA zona'!D55/'Tablas PERNOCTA zona'!D68-1,"-")</f>
        <v>-2.3701511302024691E-2</v>
      </c>
      <c r="E55" s="187">
        <f>IFERROR('Tablas PERNOCTA zona'!E55/'Tablas PERNOCTA zona'!E68-1,"-")</f>
        <v>-2.9690405902741857E-2</v>
      </c>
      <c r="F55" s="187">
        <f>IFERROR('Tablas PERNOCTA zona'!F55/'Tablas PERNOCTA zona'!F68-1,"-")</f>
        <v>-2.6236118266103281E-2</v>
      </c>
      <c r="G55" s="187">
        <f>IFERROR('Tablas PERNOCTA zona'!G55/'Tablas PERNOCTA zona'!G68-1,"-")</f>
        <v>6.7735641362594023E-3</v>
      </c>
      <c r="H55" s="187">
        <f>IFERROR('Tablas PERNOCTA zona'!H55/'Tablas PERNOCTA zona'!H68-1,"-")</f>
        <v>-2.6767891148252398E-2</v>
      </c>
      <c r="I55" s="187">
        <f>IFERROR('Tablas PERNOCTA zona'!I55/'Tablas PERNOCTA zona'!I68-1,"-")</f>
        <v>-1.0644067386194389E-2</v>
      </c>
      <c r="J55" s="187">
        <f>IFERROR('Tablas PERNOCTA zona'!J55/'Tablas PERNOCTA zona'!J68-1,"-")</f>
        <v>7.1897560994429455E-3</v>
      </c>
      <c r="K55" s="187">
        <f>IFERROR('Tablas PERNOCTA zona'!K55/'Tablas PERNOCTA zona'!K68-1,"-")</f>
        <v>-2.7795577976231001E-2</v>
      </c>
      <c r="L55" s="187">
        <f>IFERROR('Tablas PERNOCTA zona'!L55/'Tablas PERNOCTA zona'!L68-1,"-")</f>
        <v>-1.0038137818151993E-2</v>
      </c>
    </row>
    <row r="56" spans="3:12" hidden="1" outlineLevel="1">
      <c r="C56" s="51" t="s">
        <v>48</v>
      </c>
      <c r="D56" s="187">
        <f>IFERROR('Tablas PERNOCTA zona'!D56/'Tablas PERNOCTA zona'!D69-1,"-")</f>
        <v>-4.2290029995302736E-2</v>
      </c>
      <c r="E56" s="187">
        <f>IFERROR('Tablas PERNOCTA zona'!E56/'Tablas PERNOCTA zona'!E69-1,"-")</f>
        <v>-3.8662527140548741E-2</v>
      </c>
      <c r="F56" s="187">
        <f>IFERROR('Tablas PERNOCTA zona'!F56/'Tablas PERNOCTA zona'!F69-1,"-")</f>
        <v>-4.0809051255802364E-2</v>
      </c>
      <c r="G56" s="187">
        <f>IFERROR('Tablas PERNOCTA zona'!G56/'Tablas PERNOCTA zona'!G69-1,"-")</f>
        <v>-2.1054183638973267E-3</v>
      </c>
      <c r="H56" s="187">
        <f>IFERROR('Tablas PERNOCTA zona'!H56/'Tablas PERNOCTA zona'!H69-1,"-")</f>
        <v>-3.0836641474960569E-2</v>
      </c>
      <c r="I56" s="187">
        <f>IFERROR('Tablas PERNOCTA zona'!I56/'Tablas PERNOCTA zona'!I69-1,"-")</f>
        <v>-1.6468577410916341E-2</v>
      </c>
      <c r="J56" s="187">
        <f>IFERROR('Tablas PERNOCTA zona'!J56/'Tablas PERNOCTA zona'!J69-1,"-")</f>
        <v>1.4404573108824703E-2</v>
      </c>
      <c r="K56" s="187">
        <f>IFERROR('Tablas PERNOCTA zona'!K56/'Tablas PERNOCTA zona'!K69-1,"-")</f>
        <v>-2.575561961303563E-2</v>
      </c>
      <c r="L56" s="187">
        <f>IFERROR('Tablas PERNOCTA zona'!L56/'Tablas PERNOCTA zona'!L69-1,"-")</f>
        <v>-4.9914908105271882E-3</v>
      </c>
    </row>
    <row r="57" spans="3:12" collapsed="1">
      <c r="C57" s="134">
        <v>2007</v>
      </c>
      <c r="D57" s="324">
        <f>IFERROR('Tablas PERNOCTA zona'!D57/'Tablas PERNOCTA zona'!D70-1,"-")</f>
        <v>-2.9795844968964258E-2</v>
      </c>
      <c r="E57" s="324">
        <f>IFERROR('Tablas PERNOCTA zona'!E57/'Tablas PERNOCTA zona'!E70-1,"-")</f>
        <v>-5.535858254799908E-2</v>
      </c>
      <c r="F57" s="324">
        <f>IFERROR('Tablas PERNOCTA zona'!F57/'Tablas PERNOCTA zona'!F70-1,"-")</f>
        <v>-3.9939435841925164E-2</v>
      </c>
      <c r="G57" s="324">
        <f>IFERROR('Tablas PERNOCTA zona'!G57/'Tablas PERNOCTA zona'!G70-1,"-")</f>
        <v>-2.8593801264095942E-2</v>
      </c>
      <c r="H57" s="324">
        <f>IFERROR('Tablas PERNOCTA zona'!H57/'Tablas PERNOCTA zona'!H70-1,"-")</f>
        <v>-6.6876076945335927E-2</v>
      </c>
      <c r="I57" s="324">
        <f>IFERROR('Tablas PERNOCTA zona'!I57/'Tablas PERNOCTA zona'!I70-1,"-")</f>
        <v>-4.7480083906049186E-2</v>
      </c>
      <c r="J57" s="324">
        <f>IFERROR('Tablas PERNOCTA zona'!J57/'Tablas PERNOCTA zona'!J70-1,"-")</f>
        <v>-3.1719413523430995E-2</v>
      </c>
      <c r="K57" s="324">
        <f>IFERROR('Tablas PERNOCTA zona'!K57/'Tablas PERNOCTA zona'!K70-1,"-")</f>
        <v>-5.8914487359399748E-2</v>
      </c>
      <c r="L57" s="324">
        <f>IFERROR('Tablas PERNOCTA zona'!L57/'Tablas PERNOCTA zona'!L70-1,"-")</f>
        <v>-4.4418472100876349E-2</v>
      </c>
    </row>
    <row r="58" spans="3:12">
      <c r="C58" s="136" t="s">
        <v>77</v>
      </c>
      <c r="D58" s="137"/>
      <c r="E58" s="137"/>
      <c r="F58" s="137"/>
      <c r="G58" s="137"/>
      <c r="H58" s="137"/>
      <c r="I58" s="137"/>
      <c r="J58" s="137"/>
      <c r="K58" s="137"/>
      <c r="L58" s="138"/>
    </row>
  </sheetData>
  <mergeCells count="6">
    <mergeCell ref="C3:L3"/>
    <mergeCell ref="C4:C5"/>
    <mergeCell ref="D4:F4"/>
    <mergeCell ref="G4:I4"/>
    <mergeCell ref="J4:L4"/>
    <mergeCell ref="C58:L5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C2:J70"/>
  <sheetViews>
    <sheetView showGridLines="0" showRowColHeaders="0" zoomScaleNormal="100" workbookViewId="0">
      <selection activeCell="B25" sqref="B25"/>
    </sheetView>
  </sheetViews>
  <sheetFormatPr baseColWidth="10" defaultRowHeight="15" outlineLevelRow="1"/>
  <cols>
    <col min="1" max="1" width="14.28515625" customWidth="1"/>
    <col min="9" max="9" width="14" customWidth="1"/>
    <col min="12" max="12" width="12.85546875" customWidth="1"/>
  </cols>
  <sheetData>
    <row r="2" spans="3:10" ht="42.75" customHeight="1"/>
    <row r="3" spans="3:10" ht="30" customHeight="1">
      <c r="C3" s="160" t="s">
        <v>230</v>
      </c>
      <c r="D3" s="160"/>
      <c r="E3" s="160"/>
      <c r="F3" s="160"/>
      <c r="G3" s="160"/>
      <c r="H3" s="160"/>
      <c r="I3" s="160"/>
      <c r="J3" s="160"/>
    </row>
    <row r="4" spans="3:10" ht="45" customHeight="1">
      <c r="C4" s="161"/>
      <c r="D4" s="128" t="s">
        <v>114</v>
      </c>
      <c r="E4" s="128" t="s">
        <v>115</v>
      </c>
      <c r="F4" s="128" t="s">
        <v>116</v>
      </c>
      <c r="G4" s="128" t="s">
        <v>117</v>
      </c>
      <c r="H4" s="162" t="s">
        <v>34</v>
      </c>
      <c r="I4" s="162" t="s">
        <v>118</v>
      </c>
      <c r="J4" s="163" t="s">
        <v>36</v>
      </c>
    </row>
    <row r="5" spans="3:10" hidden="1">
      <c r="C5" s="51" t="s">
        <v>37</v>
      </c>
      <c r="D5" s="52" t="e">
        <f>GETPIVOTDATA("dato",'[1]tabla dinámica pernocta'!$P$5,"categoría","1* y 2 *","mes",12,"año",2010)</f>
        <v>#REF!</v>
      </c>
      <c r="E5" s="52" t="e">
        <f>GETPIVOTDATA("dato",'[1]tabla dinámica pernocta'!$P$5,"categoría","3 *","mes",12,"año",2010)</f>
        <v>#REF!</v>
      </c>
      <c r="F5" s="52" t="e">
        <f>GETPIVOTDATA("dato",'[1]tabla dinámica pernocta'!$P$5,"categoría","4 *","mes",12,"año",2010)</f>
        <v>#REF!</v>
      </c>
      <c r="G5" s="52" t="e">
        <f>GETPIVOTDATA("dato",'[1]tabla dinámica pernocta'!$P$5,"categoría","5 *","mes",12,"año",2010)</f>
        <v>#REF!</v>
      </c>
      <c r="H5" s="52" t="e">
        <f>GETPIVOTDATA("dato",'[1]tabla dinámica pernocta'!$P$5,"categoría","HOTELEROS","mes",12,"año",2010)</f>
        <v>#REF!</v>
      </c>
      <c r="I5" s="52" t="e">
        <f>GETPIVOTDATA("dato",'[1]tabla dinámica pernocta'!$P$5,"categoría","EXTRAHOTELEROS","mes",12,"año",2010)</f>
        <v>#REF!</v>
      </c>
      <c r="J5" s="52" t="e">
        <f>GETPIVOTDATA("dato",'[1]tabla dinámica pernocta'!$P$5,"categoría","TOTAL","mes",12,"año",2010)</f>
        <v>#REF!</v>
      </c>
    </row>
    <row r="6" spans="3:10" hidden="1">
      <c r="C6" s="51" t="s">
        <v>38</v>
      </c>
      <c r="D6" s="52" t="e">
        <f>GETPIVOTDATA("dato",'[1]tabla dinámica pernocta'!$P$5,"categoría","1* y 2 *","mes",11,"año",2010)</f>
        <v>#REF!</v>
      </c>
      <c r="E6" s="52" t="e">
        <f>GETPIVOTDATA("dato",'[1]tabla dinámica pernocta'!$P$5,"categoría","3 *","mes",11,"año",2010)</f>
        <v>#REF!</v>
      </c>
      <c r="F6" s="52" t="e">
        <f>GETPIVOTDATA("dato",'[1]tabla dinámica pernocta'!$P$5,"categoría","4 *","mes",11,"año",2010)</f>
        <v>#REF!</v>
      </c>
      <c r="G6" s="52" t="e">
        <f>GETPIVOTDATA("dato",'[1]tabla dinámica pernocta'!$P$5,"categoría","5 *","mes",11,"año",2010)</f>
        <v>#REF!</v>
      </c>
      <c r="H6" s="52" t="e">
        <f>GETPIVOTDATA("dato",'[1]tabla dinámica pernocta'!$P$5,"categoría","HOTELEROS","mes",11,"año",2010)</f>
        <v>#REF!</v>
      </c>
      <c r="I6" s="52" t="e">
        <f>GETPIVOTDATA("dato",'[1]tabla dinámica pernocta'!$P$5,"categoría","EXTRAHOTELEROS","mes",11,"año",2010)</f>
        <v>#REF!</v>
      </c>
      <c r="J6" s="52" t="e">
        <f>GETPIVOTDATA("dato",'[1]tabla dinámica pernocta'!$P$5,"categoría","TOTAL","mes",11,"año",2010)</f>
        <v>#REF!</v>
      </c>
    </row>
    <row r="7" spans="3:10" hidden="1">
      <c r="C7" s="51" t="s">
        <v>39</v>
      </c>
      <c r="D7" s="52" t="e">
        <f>GETPIVOTDATA("dato",'[1]tabla dinámica pernocta'!$P$5,"categoría","1* y 2 *","mes",10,"año",2010)</f>
        <v>#REF!</v>
      </c>
      <c r="E7" s="52" t="e">
        <f>GETPIVOTDATA("dato",'[1]tabla dinámica pernocta'!$P$5,"categoría","3 *","mes",10,"año",2010)</f>
        <v>#REF!</v>
      </c>
      <c r="F7" s="52" t="e">
        <f>GETPIVOTDATA("dato",'[1]tabla dinámica pernocta'!$P$5,"categoría","4 *","mes",10,"año",2010)</f>
        <v>#REF!</v>
      </c>
      <c r="G7" s="52" t="e">
        <f>GETPIVOTDATA("dato",'[1]tabla dinámica pernocta'!$P$5,"categoría","5 *","mes",10,"año",2010)</f>
        <v>#REF!</v>
      </c>
      <c r="H7" s="52" t="e">
        <f>GETPIVOTDATA("dato",'[1]tabla dinámica pernocta'!$P$5,"categoría","HOTELEROS","mes",10,"año",2010)</f>
        <v>#REF!</v>
      </c>
      <c r="I7" s="52" t="e">
        <f>GETPIVOTDATA("dato",'[1]tabla dinámica pernocta'!$P$5,"categoría","EXTRAHOTELEROS","mes",10,"año",2010)</f>
        <v>#REF!</v>
      </c>
      <c r="J7" s="52" t="e">
        <f>GETPIVOTDATA("dato",'[1]tabla dinámica pernocta'!$P$5,"categoría","TOTAL","mes",10,"año",2010)</f>
        <v>#REF!</v>
      </c>
    </row>
    <row r="8" spans="3:10" hidden="1">
      <c r="C8" s="51" t="s">
        <v>40</v>
      </c>
      <c r="D8" s="52" t="e">
        <f>GETPIVOTDATA("dato",'[1]tabla dinámica pernocta'!$P$5,"categoría","1* y 2 *","mes",9,"año",2010)</f>
        <v>#REF!</v>
      </c>
      <c r="E8" s="52" t="e">
        <f>GETPIVOTDATA("dato",'[1]tabla dinámica pernocta'!$P$5,"categoría","3 *","mes",9,"año",2010)</f>
        <v>#REF!</v>
      </c>
      <c r="F8" s="52" t="e">
        <f>GETPIVOTDATA("dato",'[1]tabla dinámica pernocta'!$P$5,"categoría","4 *","mes",9,"año",2010)</f>
        <v>#REF!</v>
      </c>
      <c r="G8" s="52" t="e">
        <f>GETPIVOTDATA("dato",'[1]tabla dinámica pernocta'!$P$5,"categoría","5 *","mes",9,"año",2010)</f>
        <v>#REF!</v>
      </c>
      <c r="H8" s="52" t="e">
        <f>GETPIVOTDATA("dato",'[1]tabla dinámica pernocta'!$P$5,"categoría","HOTELEROS","mes",9,"año",2010)</f>
        <v>#REF!</v>
      </c>
      <c r="I8" s="52" t="e">
        <f>GETPIVOTDATA("dato",'[1]tabla dinámica pernocta'!$P$5,"categoría","EXTRAHOTELEROS","mes",9,"año",2010)</f>
        <v>#REF!</v>
      </c>
      <c r="J8" s="52" t="e">
        <f>GETPIVOTDATA("dato",'[1]tabla dinámica pernocta'!$P$5,"categoría","TOTAL","mes",9,"año",2010)</f>
        <v>#REF!</v>
      </c>
    </row>
    <row r="9" spans="3:10" hidden="1">
      <c r="C9" s="51" t="s">
        <v>41</v>
      </c>
      <c r="D9" s="52" t="e">
        <f>GETPIVOTDATA("dato",'[1]tabla dinámica pernocta'!$P$5,"categoría","1* y 2 *","mes",8,"año",2010)</f>
        <v>#REF!</v>
      </c>
      <c r="E9" s="52" t="e">
        <f>GETPIVOTDATA("dato",'[1]tabla dinámica pernocta'!$P$5,"categoría","3 *","mes",8,"año",2010)</f>
        <v>#REF!</v>
      </c>
      <c r="F9" s="52" t="e">
        <f>GETPIVOTDATA("dato",'[1]tabla dinámica pernocta'!$P$5,"categoría","4 *","mes",8,"año",2010)</f>
        <v>#REF!</v>
      </c>
      <c r="G9" s="52" t="e">
        <f>GETPIVOTDATA("dato",'[1]tabla dinámica pernocta'!$P$5,"categoría","5 *","mes",8,"año",2010)</f>
        <v>#REF!</v>
      </c>
      <c r="H9" s="52" t="e">
        <f>GETPIVOTDATA("dato",'[1]tabla dinámica pernocta'!$P$5,"categoría","HOTELEROS","mes",8,"año",2010)</f>
        <v>#REF!</v>
      </c>
      <c r="I9" s="52" t="e">
        <f>GETPIVOTDATA("dato",'[1]tabla dinámica pernocta'!$P$5,"categoría","EXTRAHOTELEROS","mes",8,"año",2010)</f>
        <v>#REF!</v>
      </c>
      <c r="J9" s="52" t="e">
        <f>GETPIVOTDATA("dato",'[1]tabla dinámica pernocta'!$P$5,"categoría","TOTAL","mes",8,"año",2010)</f>
        <v>#REF!</v>
      </c>
    </row>
    <row r="10" spans="3:10">
      <c r="C10" s="51" t="s">
        <v>42</v>
      </c>
      <c r="D10" s="52">
        <f>GETPIVOTDATA("dato",'[1]tabla dinámica pernocta'!$P$5,"categoría","1* y 2 *","mes",7,"año",2010)</f>
        <v>10891</v>
      </c>
      <c r="E10" s="52">
        <f>GETPIVOTDATA("dato",'[1]tabla dinámica pernocta'!$P$5,"categoría","3 *","mes",7,"año",2010)</f>
        <v>114613</v>
      </c>
      <c r="F10" s="52">
        <f>GETPIVOTDATA("dato",'[1]tabla dinámica pernocta'!$P$5,"categoría","4 *","mes",7,"año",2010)</f>
        <v>598311</v>
      </c>
      <c r="G10" s="52">
        <f>GETPIVOTDATA("dato",'[1]tabla dinámica pernocta'!$P$5,"categoría","5 *","mes",7,"año",2010)</f>
        <v>108018</v>
      </c>
      <c r="H10" s="52">
        <f>GETPIVOTDATA("dato",'[1]tabla dinámica pernocta'!$P$5,"categoría","HOTELEROS","mes",7,"año",2010)</f>
        <v>831833</v>
      </c>
      <c r="I10" s="52">
        <f>GETPIVOTDATA("dato",'[1]tabla dinámica pernocta'!$P$5,"categoría","EXTRAHOTELEROS","mes",7,"año",2010)</f>
        <v>474514</v>
      </c>
      <c r="J10" s="52">
        <f>GETPIVOTDATA("dato",'[1]tabla dinámica pernocta'!$P$5,"categoría","TOTAL","mes",7,"año",2010)</f>
        <v>1306347</v>
      </c>
    </row>
    <row r="11" spans="3:10">
      <c r="C11" s="51" t="s">
        <v>43</v>
      </c>
      <c r="D11" s="52">
        <f>GETPIVOTDATA("dato",'[1]tabla dinámica pernocta'!$P$5,"categoría","1* y 2 *","mes",6,"año",2010)</f>
        <v>9294</v>
      </c>
      <c r="E11" s="52">
        <f>GETPIVOTDATA("dato",'[1]tabla dinámica pernocta'!$P$5,"categoría","3 *","mes",6,"año",2010)</f>
        <v>92144</v>
      </c>
      <c r="F11" s="52">
        <f>GETPIVOTDATA("dato",'[1]tabla dinámica pernocta'!$P$5,"categoría","4 *","mes",6,"año",2010)</f>
        <v>460594</v>
      </c>
      <c r="G11" s="52">
        <f>GETPIVOTDATA("dato",'[1]tabla dinámica pernocta'!$P$5,"categoría","5 *","mes",6,"año",2010)</f>
        <v>84263</v>
      </c>
      <c r="H11" s="52">
        <f>GETPIVOTDATA("dato",'[1]tabla dinámica pernocta'!$P$5,"categoría","HOTELEROS","mes",6,"año",2010)</f>
        <v>646295</v>
      </c>
      <c r="I11" s="52">
        <f>GETPIVOTDATA("dato",'[1]tabla dinámica pernocta'!$P$5,"categoría","EXTRAHOTELEROS","mes",6,"año",2010)</f>
        <v>350346</v>
      </c>
      <c r="J11" s="52">
        <f>GETPIVOTDATA("dato",'[1]tabla dinámica pernocta'!$P$5,"categoría","TOTAL","mes",6,"año",2010)</f>
        <v>996641</v>
      </c>
    </row>
    <row r="12" spans="3:10">
      <c r="C12" s="51" t="s">
        <v>44</v>
      </c>
      <c r="D12" s="52">
        <f>GETPIVOTDATA("dato",'[1]tabla dinámica pernocta'!$P$5,"categoría","1* y 2 *","mes",5,"año",2010)</f>
        <v>8219</v>
      </c>
      <c r="E12" s="52">
        <f>GETPIVOTDATA("dato",'[1]tabla dinámica pernocta'!$P$5,"categoría","3 *","mes",5,"año",2010)</f>
        <v>111661</v>
      </c>
      <c r="F12" s="52">
        <f>GETPIVOTDATA("dato",'[1]tabla dinámica pernocta'!$P$5,"categoría","4 *","mes",5,"año",2010)</f>
        <v>426582</v>
      </c>
      <c r="G12" s="52">
        <f>GETPIVOTDATA("dato",'[1]tabla dinámica pernocta'!$P$5,"categoría","5 *","mes",5,"año",2010)</f>
        <v>85809</v>
      </c>
      <c r="H12" s="52">
        <f>GETPIVOTDATA("dato",'[1]tabla dinámica pernocta'!$P$5,"categoría","HOTELEROS","mes",5,"año",2010)</f>
        <v>632271</v>
      </c>
      <c r="I12" s="52">
        <f>GETPIVOTDATA("dato",'[1]tabla dinámica pernocta'!$P$5,"categoría","EXTRAHOTELEROS","mes",5,"año",2010)</f>
        <v>320279</v>
      </c>
      <c r="J12" s="52">
        <f>GETPIVOTDATA("dato",'[1]tabla dinámica pernocta'!$P$5,"categoría","TOTAL","mes",5,"año",2010)</f>
        <v>952550</v>
      </c>
    </row>
    <row r="13" spans="3:10">
      <c r="C13" s="51" t="s">
        <v>45</v>
      </c>
      <c r="D13" s="52">
        <f>GETPIVOTDATA("dato",'[1]tabla dinámica pernocta'!$P$5,"categoría","1* y 2 *","mes",4,"año",2010)</f>
        <v>8244</v>
      </c>
      <c r="E13" s="52">
        <f>GETPIVOTDATA("dato",'[1]tabla dinámica pernocta'!$P$5,"categoría","3 *","mes",4,"año",2010)</f>
        <v>107389</v>
      </c>
      <c r="F13" s="52">
        <f>GETPIVOTDATA("dato",'[1]tabla dinámica pernocta'!$P$5,"categoría","4 *","mes",4,"año",2010)</f>
        <v>471858</v>
      </c>
      <c r="G13" s="52">
        <f>GETPIVOTDATA("dato",'[1]tabla dinámica pernocta'!$P$5,"categoría","5 *","mes",4,"año",2010)</f>
        <v>95177</v>
      </c>
      <c r="H13" s="52">
        <f>GETPIVOTDATA("dato",'[1]tabla dinámica pernocta'!$P$5,"categoría","HOTELEROS","mes",4,"año",2010)</f>
        <v>682668</v>
      </c>
      <c r="I13" s="52">
        <f>GETPIVOTDATA("dato",'[1]tabla dinámica pernocta'!$P$5,"categoría","EXTRAHOTELEROS","mes",4,"año",2010)</f>
        <v>378612</v>
      </c>
      <c r="J13" s="52">
        <f>GETPIVOTDATA("dato",'[1]tabla dinámica pernocta'!$P$5,"categoría","TOTAL","mes",4,"año",2010)</f>
        <v>1061280</v>
      </c>
    </row>
    <row r="14" spans="3:10">
      <c r="C14" s="51" t="s">
        <v>46</v>
      </c>
      <c r="D14" s="52">
        <f>GETPIVOTDATA("dato",'[1]tabla dinámica pernocta'!$P$5,"categoría","1* y 2 *","mes",3,"año",2010)</f>
        <v>11065</v>
      </c>
      <c r="E14" s="52">
        <f>GETPIVOTDATA("dato",'[1]tabla dinámica pernocta'!$P$5,"categoría","3 *","mes",3,"año",2010)</f>
        <v>124385</v>
      </c>
      <c r="F14" s="52">
        <f>GETPIVOTDATA("dato",'[1]tabla dinámica pernocta'!$P$5,"categoría","4 *","mes",3,"año",2010)</f>
        <v>462500</v>
      </c>
      <c r="G14" s="52">
        <f>GETPIVOTDATA("dato",'[1]tabla dinámica pernocta'!$P$5,"categoría","5 *","mes",3,"año",2010)</f>
        <v>98522</v>
      </c>
      <c r="H14" s="52">
        <f>GETPIVOTDATA("dato",'[1]tabla dinámica pernocta'!$P$5,"categoría","HOTELEROS","mes",3,"año",2010)</f>
        <v>696472</v>
      </c>
      <c r="I14" s="52">
        <f>GETPIVOTDATA("dato",'[1]tabla dinámica pernocta'!$P$5,"categoría","EXTRAHOTELEROS","mes",3,"año",2010)</f>
        <v>441761</v>
      </c>
      <c r="J14" s="52">
        <f>GETPIVOTDATA("dato",'[1]tabla dinámica pernocta'!$P$5,"categoría","TOTAL","mes",3,"año",2010)</f>
        <v>1138233</v>
      </c>
    </row>
    <row r="15" spans="3:10">
      <c r="C15" s="51" t="s">
        <v>47</v>
      </c>
      <c r="D15" s="52">
        <f>GETPIVOTDATA("dato",'[1]tabla dinámica pernocta'!$P$5,"categoría","1* y 2 *","mes",2,"año",2010)</f>
        <v>10994</v>
      </c>
      <c r="E15" s="52">
        <f>GETPIVOTDATA("dato",'[1]tabla dinámica pernocta'!$P$5,"categoría","3 *","mes",2,"año",2010)</f>
        <v>121201</v>
      </c>
      <c r="F15" s="52">
        <f>GETPIVOTDATA("dato",'[1]tabla dinámica pernocta'!$P$5,"categoría","4 *","mes",2,"año",2010)</f>
        <v>440507</v>
      </c>
      <c r="G15" s="52">
        <f>GETPIVOTDATA("dato",'[1]tabla dinámica pernocta'!$P$5,"categoría","5 *","mes",2,"año",2010)</f>
        <v>83487</v>
      </c>
      <c r="H15" s="52">
        <f>GETPIVOTDATA("dato",'[1]tabla dinámica pernocta'!$P$5,"categoría","HOTELEROS","mes",2,"año",2010)</f>
        <v>656189</v>
      </c>
      <c r="I15" s="52">
        <f>GETPIVOTDATA("dato",'[1]tabla dinámica pernocta'!$P$5,"categoría","EXTRAHOTELEROS","mes",2,"año",2010)</f>
        <v>425008</v>
      </c>
      <c r="J15" s="52">
        <f>GETPIVOTDATA("dato",'[1]tabla dinámica pernocta'!$P$5,"categoría","TOTAL","mes",2,"año",2010)</f>
        <v>1081197</v>
      </c>
    </row>
    <row r="16" spans="3:10">
      <c r="C16" s="51" t="s">
        <v>48</v>
      </c>
      <c r="D16" s="52">
        <f>GETPIVOTDATA("dato",'[1]tabla dinámica pernocta'!$P$5,"categoría","1* y 2 *","mes",1,"año",2010)</f>
        <v>11013</v>
      </c>
      <c r="E16" s="52">
        <f>GETPIVOTDATA("dato",'[1]tabla dinámica pernocta'!$P$5,"categoría","3 *","mes",1,"año",2010)</f>
        <v>132565</v>
      </c>
      <c r="F16" s="52">
        <f>GETPIVOTDATA("dato",'[1]tabla dinámica pernocta'!$P$5,"categoría","4 *","mes",1,"año",2010)</f>
        <v>495848</v>
      </c>
      <c r="G16" s="52">
        <f>GETPIVOTDATA("dato",'[1]tabla dinámica pernocta'!$P$5,"categoría","5 *","mes",1,"año",2010)</f>
        <v>77704</v>
      </c>
      <c r="H16" s="52">
        <f>GETPIVOTDATA("dato",'[1]tabla dinámica pernocta'!$P$5,"categoría","HOTELEROS","mes",1,"año",2010)</f>
        <v>717130</v>
      </c>
      <c r="I16" s="52">
        <f>GETPIVOTDATA("dato",'[1]tabla dinámica pernocta'!$P$5,"categoría","EXTRAHOTELEROS","mes",1,"año",2010)</f>
        <v>445225</v>
      </c>
      <c r="J16" s="52">
        <f>GETPIVOTDATA("dato",'[1]tabla dinámica pernocta'!$P$5,"categoría","TOTAL","mes",1,"año",2010)</f>
        <v>1162355</v>
      </c>
    </row>
    <row r="17" spans="3:10" ht="30">
      <c r="C17" s="54" t="str">
        <f>actualizaciones!A2</f>
        <v xml:space="preserve">acumulado julio 2010 </v>
      </c>
      <c r="D17" s="55">
        <f>GETPIVOTDATA("dato",'[1]tabla dinámica pernocta'!$P$5,"categoría","1* y 2 *","año",2010)</f>
        <v>69720</v>
      </c>
      <c r="E17" s="55">
        <f>GETPIVOTDATA("dato",'[1]tabla dinámica pernocta'!$P$5,"categoría","3 *","año",2010)</f>
        <v>803958</v>
      </c>
      <c r="F17" s="55">
        <f>GETPIVOTDATA("dato",'[1]tabla dinámica pernocta'!$P$5,"categoría","4 *","año",2010)</f>
        <v>3356200</v>
      </c>
      <c r="G17" s="55">
        <f>GETPIVOTDATA("dato",'[1]tabla dinámica pernocta'!$P$5,"categoría","5 *","año",2010)</f>
        <v>632980</v>
      </c>
      <c r="H17" s="55">
        <f>GETPIVOTDATA("dato",'[1]tabla dinámica pernocta'!$P$5,"categoría","HOTELEROS","año",2010)</f>
        <v>4862858</v>
      </c>
      <c r="I17" s="55">
        <f>GETPIVOTDATA("dato",'[1]tabla dinámica pernocta'!$P$5,"categoría","EXTRAHOTELEROS","año",2010)</f>
        <v>2835745</v>
      </c>
      <c r="J17" s="55">
        <f>GETPIVOTDATA("dato",'[1]tabla dinámica pernocta'!$P$5,"categoría","TOTAL","año",2010)</f>
        <v>7698603</v>
      </c>
    </row>
    <row r="18" spans="3:10" hidden="1" outlineLevel="1">
      <c r="C18" s="51" t="s">
        <v>37</v>
      </c>
      <c r="D18" s="52">
        <f>GETPIVOTDATA("dato",'[1]tabla dinámica pernocta'!$P$5,"categoría","1* y 2 *","mes",12,"año",2009)</f>
        <v>10698</v>
      </c>
      <c r="E18" s="52">
        <f>GETPIVOTDATA("dato",'[1]tabla dinámica pernocta'!$P$5,"categoría","3 *","mes",12,"año",2009)</f>
        <v>120768</v>
      </c>
      <c r="F18" s="52">
        <f>GETPIVOTDATA("dato",'[1]tabla dinámica pernocta'!$P$5,"categoría","4 *","mes",12,"año",2009)</f>
        <v>469008</v>
      </c>
      <c r="G18" s="52">
        <f>GETPIVOTDATA("dato",'[1]tabla dinámica pernocta'!$P$5,"categoría","5 *","mes",12,"año",2009)</f>
        <v>79852</v>
      </c>
      <c r="H18" s="52">
        <f>GETPIVOTDATA("dato",'[1]tabla dinámica pernocta'!$P$5,"categoría","HOTELEROS","mes",12,"año",2009)</f>
        <v>680326</v>
      </c>
      <c r="I18" s="52">
        <f>GETPIVOTDATA("dato",'[1]tabla dinámica pernocta'!$P$5,"categoría","EXTRAHOTELEROS","mes",12,"año",2009)</f>
        <v>433855</v>
      </c>
      <c r="J18" s="52">
        <f>GETPIVOTDATA("dato",'[1]tabla dinámica pernocta'!$P$5,"categoría","TOTAL","mes",12,"año",2009)</f>
        <v>1114181</v>
      </c>
    </row>
    <row r="19" spans="3:10" hidden="1" outlineLevel="1">
      <c r="C19" s="51" t="s">
        <v>38</v>
      </c>
      <c r="D19" s="52">
        <f>GETPIVOTDATA("dato",'[1]tabla dinámica pernocta'!$P$5,"categoría","1* y 2 *","mes",11,"año",2009)</f>
        <v>9863</v>
      </c>
      <c r="E19" s="52">
        <f>GETPIVOTDATA("dato",'[1]tabla dinámica pernocta'!$P$5,"categoría","3 *","mes",11,"año",2009)</f>
        <v>128070</v>
      </c>
      <c r="F19" s="52">
        <f>GETPIVOTDATA("dato",'[1]tabla dinámica pernocta'!$P$5,"categoría","4 *","mes",11,"año",2009)</f>
        <v>464858</v>
      </c>
      <c r="G19" s="52">
        <f>GETPIVOTDATA("dato",'[1]tabla dinámica pernocta'!$P$5,"categoría","5 *","mes",11,"año",2009)</f>
        <v>107089</v>
      </c>
      <c r="H19" s="52">
        <f>GETPIVOTDATA("dato",'[1]tabla dinámica pernocta'!$P$5,"categoría","HOTELEROS","mes",11,"año",2009)</f>
        <v>709880</v>
      </c>
      <c r="I19" s="52">
        <f>GETPIVOTDATA("dato",'[1]tabla dinámica pernocta'!$P$5,"categoría","EXTRAHOTELEROS","mes",11,"año",2009)</f>
        <v>430838</v>
      </c>
      <c r="J19" s="52">
        <f>GETPIVOTDATA("dato",'[1]tabla dinámica pernocta'!$P$5,"categoría","TOTAL","mes",11,"año",2009)</f>
        <v>1140718</v>
      </c>
    </row>
    <row r="20" spans="3:10" hidden="1" outlineLevel="1">
      <c r="C20" s="51" t="s">
        <v>39</v>
      </c>
      <c r="D20" s="52">
        <f>GETPIVOTDATA("dato",'[1]tabla dinámica pernocta'!$P$5,"categoría","1* y 2 *","mes",10,"año",2009)</f>
        <v>8413</v>
      </c>
      <c r="E20" s="52">
        <f>GETPIVOTDATA("dato",'[1]tabla dinámica pernocta'!$P$5,"categoría","3 *","mes",10,"año",2009)</f>
        <v>98944</v>
      </c>
      <c r="F20" s="52">
        <f>GETPIVOTDATA("dato",'[1]tabla dinámica pernocta'!$P$5,"categoría","4 *","mes",10,"año",2009)</f>
        <v>493225</v>
      </c>
      <c r="G20" s="52">
        <f>GETPIVOTDATA("dato",'[1]tabla dinámica pernocta'!$P$5,"categoría","5 *","mes",10,"año",2009)</f>
        <v>98069</v>
      </c>
      <c r="H20" s="52">
        <f>GETPIVOTDATA("dato",'[1]tabla dinámica pernocta'!$P$5,"categoría","HOTELEROS","mes",10,"año",2009)</f>
        <v>698651</v>
      </c>
      <c r="I20" s="52">
        <f>GETPIVOTDATA("dato",'[1]tabla dinámica pernocta'!$P$5,"categoría","EXTRAHOTELEROS","mes",10,"año",2009)</f>
        <v>399756</v>
      </c>
      <c r="J20" s="52">
        <f>GETPIVOTDATA("dato",'[1]tabla dinámica pernocta'!$P$5,"categoría","TOTAL","mes",10,"año",2009)</f>
        <v>1098407</v>
      </c>
    </row>
    <row r="21" spans="3:10" hidden="1" outlineLevel="1">
      <c r="C21" s="51" t="s">
        <v>40</v>
      </c>
      <c r="D21" s="52">
        <f>GETPIVOTDATA("dato",'[1]tabla dinámica pernocta'!$P$5,"categoría","1* y 2 *","mes",9,"año",2009)</f>
        <v>8899</v>
      </c>
      <c r="E21" s="52">
        <f>GETPIVOTDATA("dato",'[1]tabla dinámica pernocta'!$P$5,"categoría","3 *","mes",9,"año",2009)</f>
        <v>89249</v>
      </c>
      <c r="F21" s="52">
        <f>GETPIVOTDATA("dato",'[1]tabla dinámica pernocta'!$P$5,"categoría","4 *","mes",9,"año",2009)</f>
        <v>465891</v>
      </c>
      <c r="G21" s="52">
        <f>GETPIVOTDATA("dato",'[1]tabla dinámica pernocta'!$P$5,"categoría","5 *","mes",9,"año",2009)</f>
        <v>98098</v>
      </c>
      <c r="H21" s="52">
        <f>GETPIVOTDATA("dato",'[1]tabla dinámica pernocta'!$P$5,"categoría","HOTELEROS","mes",9,"año",2009)</f>
        <v>662137</v>
      </c>
      <c r="I21" s="52">
        <f>GETPIVOTDATA("dato",'[1]tabla dinámica pernocta'!$P$5,"categoría","EXTRAHOTELEROS","mes",9,"año",2009)</f>
        <v>395535</v>
      </c>
      <c r="J21" s="52">
        <f>GETPIVOTDATA("dato",'[1]tabla dinámica pernocta'!$P$5,"categoría","TOTAL","mes",9,"año",2009)</f>
        <v>1057672</v>
      </c>
    </row>
    <row r="22" spans="3:10" hidden="1" outlineLevel="1">
      <c r="C22" s="51" t="s">
        <v>41</v>
      </c>
      <c r="D22" s="52">
        <f>GETPIVOTDATA("dato",'[1]tabla dinámica pernocta'!$P$5,"categoría","1* y 2 *","mes",8,"año",2009)</f>
        <v>10378</v>
      </c>
      <c r="E22" s="52">
        <f>GETPIVOTDATA("dato",'[1]tabla dinámica pernocta'!$P$5,"categoría","3 *","mes",8,"año",2009)</f>
        <v>138679</v>
      </c>
      <c r="F22" s="52">
        <f>GETPIVOTDATA("dato",'[1]tabla dinámica pernocta'!$P$5,"categoría","4 *","mes",8,"año",2009)</f>
        <v>582252</v>
      </c>
      <c r="G22" s="52">
        <f>GETPIVOTDATA("dato",'[1]tabla dinámica pernocta'!$P$5,"categoría","5 *","mes",8,"año",2009)</f>
        <v>101433</v>
      </c>
      <c r="H22" s="52">
        <f>GETPIVOTDATA("dato",'[1]tabla dinámica pernocta'!$P$5,"categoría","HOTELEROS","mes",8,"año",2009)</f>
        <v>832742</v>
      </c>
      <c r="I22" s="52">
        <f>GETPIVOTDATA("dato",'[1]tabla dinámica pernocta'!$P$5,"categoría","EXTRAHOTELEROS","mes",8,"año",2009)</f>
        <v>564101</v>
      </c>
      <c r="J22" s="52">
        <f>GETPIVOTDATA("dato",'[1]tabla dinámica pernocta'!$P$5,"categoría","TOTAL","mes",8,"año",2009)</f>
        <v>1396843</v>
      </c>
    </row>
    <row r="23" spans="3:10" hidden="1" outlineLevel="1">
      <c r="C23" s="51" t="s">
        <v>42</v>
      </c>
      <c r="D23" s="52">
        <f>GETPIVOTDATA("dato",'[1]tabla dinámica pernocta'!$P$5,"categoría","1* y 2 *","mes",7,"año",2009)</f>
        <v>10402</v>
      </c>
      <c r="E23" s="52">
        <f>GETPIVOTDATA("dato",'[1]tabla dinámica pernocta'!$P$5,"categoría","3 *","mes",7,"año",2009)</f>
        <v>135818</v>
      </c>
      <c r="F23" s="52">
        <f>GETPIVOTDATA("dato",'[1]tabla dinámica pernocta'!$P$5,"categoría","4 *","mes",7,"año",2009)</f>
        <v>547670</v>
      </c>
      <c r="G23" s="52">
        <f>GETPIVOTDATA("dato",'[1]tabla dinámica pernocta'!$P$5,"categoría","5 *","mes",7,"año",2009)</f>
        <v>87962</v>
      </c>
      <c r="H23" s="52">
        <f>GETPIVOTDATA("dato",'[1]tabla dinámica pernocta'!$P$5,"categoría","HOTELEROS","mes",7,"año",2009)</f>
        <v>781852</v>
      </c>
      <c r="I23" s="52">
        <f>GETPIVOTDATA("dato",'[1]tabla dinámica pernocta'!$P$5,"categoría","EXTRAHOTELEROS","mes",7,"año",2009)</f>
        <v>447430</v>
      </c>
      <c r="J23" s="52">
        <f>GETPIVOTDATA("dato",'[1]tabla dinámica pernocta'!$P$5,"categoría","TOTAL","mes",7,"año",2009)</f>
        <v>1229282</v>
      </c>
    </row>
    <row r="24" spans="3:10" hidden="1" outlineLevel="1">
      <c r="C24" s="51" t="s">
        <v>43</v>
      </c>
      <c r="D24" s="52">
        <f>GETPIVOTDATA("dato",'[1]tabla dinámica pernocta'!$P$5,"categoría","1* y 2 *","mes",6,"año",2009)</f>
        <v>7809</v>
      </c>
      <c r="E24" s="52">
        <f>GETPIVOTDATA("dato",'[1]tabla dinámica pernocta'!$P$5,"categoría","3 *","mes",6,"año",2009)</f>
        <v>122107</v>
      </c>
      <c r="F24" s="52">
        <f>GETPIVOTDATA("dato",'[1]tabla dinámica pernocta'!$P$5,"categoría","4 *","mes",6,"año",2009)</f>
        <v>412787</v>
      </c>
      <c r="G24" s="52">
        <f>GETPIVOTDATA("dato",'[1]tabla dinámica pernocta'!$P$5,"categoría","5 *","mes",6,"año",2009)</f>
        <v>73181</v>
      </c>
      <c r="H24" s="52">
        <f>GETPIVOTDATA("dato",'[1]tabla dinámica pernocta'!$P$5,"categoría","HOTELEROS","mes",6,"año",2009)</f>
        <v>615884</v>
      </c>
      <c r="I24" s="52">
        <f>GETPIVOTDATA("dato",'[1]tabla dinámica pernocta'!$P$5,"categoría","EXTRAHOTELEROS","mes",6,"año",2009)</f>
        <v>353309</v>
      </c>
      <c r="J24" s="52">
        <f>GETPIVOTDATA("dato",'[1]tabla dinámica pernocta'!$P$5,"categoría","TOTAL","mes",6,"año",2009)</f>
        <v>969193</v>
      </c>
    </row>
    <row r="25" spans="3:10" hidden="1" outlineLevel="1">
      <c r="C25" s="51" t="s">
        <v>44</v>
      </c>
      <c r="D25" s="52">
        <f>GETPIVOTDATA("dato",'[1]tabla dinámica pernocta'!$P$5,"categoría","1* y 2 *","mes",5,"año",2009)</f>
        <v>8562</v>
      </c>
      <c r="E25" s="52">
        <f>GETPIVOTDATA("dato",'[1]tabla dinámica pernocta'!$P$5,"categoría","3 *","mes",5,"año",2009)</f>
        <v>110582</v>
      </c>
      <c r="F25" s="52">
        <f>GETPIVOTDATA("dato",'[1]tabla dinámica pernocta'!$P$5,"categoría","4 *","mes",5,"año",2009)</f>
        <v>385127</v>
      </c>
      <c r="G25" s="52">
        <f>GETPIVOTDATA("dato",'[1]tabla dinámica pernocta'!$P$5,"categoría","5 *","mes",5,"año",2009)</f>
        <v>80492</v>
      </c>
      <c r="H25" s="52">
        <f>GETPIVOTDATA("dato",'[1]tabla dinámica pernocta'!$P$5,"categoría","HOTELEROS","mes",5,"año",2009)</f>
        <v>584763</v>
      </c>
      <c r="I25" s="52">
        <f>GETPIVOTDATA("dato",'[1]tabla dinámica pernocta'!$P$5,"categoría","EXTRAHOTELEROS","mes",5,"año",2009)</f>
        <v>317253</v>
      </c>
      <c r="J25" s="52">
        <f>GETPIVOTDATA("dato",'[1]tabla dinámica pernocta'!$P$5,"categoría","TOTAL","mes",5,"año",2009)</f>
        <v>902016</v>
      </c>
    </row>
    <row r="26" spans="3:10" hidden="1" outlineLevel="1">
      <c r="C26" s="51" t="s">
        <v>45</v>
      </c>
      <c r="D26" s="52">
        <f>GETPIVOTDATA("dato",'[1]tabla dinámica pernocta'!$P$5,"categoría","1* y 2 *","mes",4,"año",2009)</f>
        <v>9455</v>
      </c>
      <c r="E26" s="52">
        <f>GETPIVOTDATA("dato",'[1]tabla dinámica pernocta'!$P$5,"categoría","3 *","mes",4,"año",2009)</f>
        <v>126841</v>
      </c>
      <c r="F26" s="52">
        <f>GETPIVOTDATA("dato",'[1]tabla dinámica pernocta'!$P$5,"categoría","4 *","mes",4,"año",2009)</f>
        <v>456875</v>
      </c>
      <c r="G26" s="52">
        <f>GETPIVOTDATA("dato",'[1]tabla dinámica pernocta'!$P$5,"categoría","5 *","mes",4,"año",2009)</f>
        <v>89301</v>
      </c>
      <c r="H26" s="52">
        <f>GETPIVOTDATA("dato",'[1]tabla dinámica pernocta'!$P$5,"categoría","HOTELEROS","mes",4,"año",2009)</f>
        <v>682472</v>
      </c>
      <c r="I26" s="52">
        <f>GETPIVOTDATA("dato",'[1]tabla dinámica pernocta'!$P$5,"categoría","EXTRAHOTELEROS","mes",4,"año",2009)</f>
        <v>418737</v>
      </c>
      <c r="J26" s="52">
        <f>GETPIVOTDATA("dato",'[1]tabla dinámica pernocta'!$P$5,"categoría","TOTAL","mes",4,"año",2009)</f>
        <v>1101209</v>
      </c>
    </row>
    <row r="27" spans="3:10" hidden="1" outlineLevel="1">
      <c r="C27" s="51" t="s">
        <v>46</v>
      </c>
      <c r="D27" s="52">
        <f>GETPIVOTDATA("dato",'[1]tabla dinámica pernocta'!$P$5,"categoría","1* y 2 *","mes",3,"año",2009)</f>
        <v>12760</v>
      </c>
      <c r="E27" s="52">
        <f>GETPIVOTDATA("dato",'[1]tabla dinámica pernocta'!$P$5,"categoría","3 *","mes",3,"año",2009)</f>
        <v>152897</v>
      </c>
      <c r="F27" s="52">
        <f>GETPIVOTDATA("dato",'[1]tabla dinámica pernocta'!$P$5,"categoría","4 *","mes",3,"año",2009)</f>
        <v>442123</v>
      </c>
      <c r="G27" s="52">
        <f>GETPIVOTDATA("dato",'[1]tabla dinámica pernocta'!$P$5,"categoría","5 *","mes",3,"año",2009)</f>
        <v>84068</v>
      </c>
      <c r="H27" s="52">
        <f>GETPIVOTDATA("dato",'[1]tabla dinámica pernocta'!$P$5,"categoría","HOTELEROS","mes",3,"año",2009)</f>
        <v>691848</v>
      </c>
      <c r="I27" s="52">
        <f>GETPIVOTDATA("dato",'[1]tabla dinámica pernocta'!$P$5,"categoría","EXTRAHOTELEROS","mes",3,"año",2009)</f>
        <v>466252</v>
      </c>
      <c r="J27" s="52">
        <f>GETPIVOTDATA("dato",'[1]tabla dinámica pernocta'!$P$5,"categoría","TOTAL","mes",3,"año",2009)</f>
        <v>1158100</v>
      </c>
    </row>
    <row r="28" spans="3:10" hidden="1" outlineLevel="1">
      <c r="C28" s="51" t="s">
        <v>47</v>
      </c>
      <c r="D28" s="52">
        <f>GETPIVOTDATA("dato",'[1]tabla dinámica pernocta'!$P$5,"categoría","1* y 2 *","mes",2,"año",2009)</f>
        <v>9780</v>
      </c>
      <c r="E28" s="52">
        <f>GETPIVOTDATA("dato",'[1]tabla dinámica pernocta'!$P$5,"categoría","3 *","mes",2,"año",2009)</f>
        <v>146385</v>
      </c>
      <c r="F28" s="52">
        <f>GETPIVOTDATA("dato",'[1]tabla dinámica pernocta'!$P$5,"categoría","4 *","mes",2,"año",2009)</f>
        <v>416891</v>
      </c>
      <c r="G28" s="52">
        <f>GETPIVOTDATA("dato",'[1]tabla dinámica pernocta'!$P$5,"categoría","5 *","mes",2,"año",2009)</f>
        <v>79689</v>
      </c>
      <c r="H28" s="52">
        <f>GETPIVOTDATA("dato",'[1]tabla dinámica pernocta'!$P$5,"categoría","HOTELEROS","mes",2,"año",2009)</f>
        <v>652745</v>
      </c>
      <c r="I28" s="52">
        <f>GETPIVOTDATA("dato",'[1]tabla dinámica pernocta'!$P$5,"categoría","EXTRAHOTELEROS","mes",2,"año",2009)</f>
        <v>456200</v>
      </c>
      <c r="J28" s="52">
        <f>GETPIVOTDATA("dato",'[1]tabla dinámica pernocta'!$P$5,"categoría","TOTAL","mes",2,"año",2009)</f>
        <v>1108945</v>
      </c>
    </row>
    <row r="29" spans="3:10" hidden="1" outlineLevel="1">
      <c r="C29" s="51" t="s">
        <v>48</v>
      </c>
      <c r="D29" s="52">
        <f>GETPIVOTDATA("dato",'[1]tabla dinámica pernocta'!$P$5,"categoría","1* y 2 *","mes",1,"año",2009)</f>
        <v>10176</v>
      </c>
      <c r="E29" s="52">
        <f>GETPIVOTDATA("dato",'[1]tabla dinámica pernocta'!$P$5,"categoría","3 *","mes",1,"año",2009)</f>
        <v>159944</v>
      </c>
      <c r="F29" s="52">
        <f>GETPIVOTDATA("dato",'[1]tabla dinámica pernocta'!$P$5,"categoría","4 *","mes",1,"año",2009)</f>
        <v>492218</v>
      </c>
      <c r="G29" s="52">
        <f>GETPIVOTDATA("dato",'[1]tabla dinámica pernocta'!$P$5,"categoría","5 *","mes",1,"año",2009)</f>
        <v>88000</v>
      </c>
      <c r="H29" s="52">
        <f>GETPIVOTDATA("dato",'[1]tabla dinámica pernocta'!$P$5,"categoría","HOTELEROS","mes",1,"año",2009)</f>
        <v>750338</v>
      </c>
      <c r="I29" s="52">
        <f>GETPIVOTDATA("dato",'[1]tabla dinámica pernocta'!$P$5,"categoría","EXTRAHOTELEROS","mes",1,"año",2009)</f>
        <v>492580</v>
      </c>
      <c r="J29" s="52">
        <f>GETPIVOTDATA("dato",'[1]tabla dinámica pernocta'!$P$5,"categoría","TOTAL","mes",1,"año",2009)</f>
        <v>1242918</v>
      </c>
    </row>
    <row r="30" spans="3:10" collapsed="1">
      <c r="C30" s="164">
        <v>2009</v>
      </c>
      <c r="D30" s="57">
        <f>GETPIVOTDATA("dato",'[1]tabla dinámica pernocta'!$P$5,"categoría","1* y 2 *","año",2009)</f>
        <v>117195</v>
      </c>
      <c r="E30" s="57">
        <f>GETPIVOTDATA("dato",'[1]tabla dinámica pernocta'!$P$5,"categoría","3 *","año",2009)</f>
        <v>1530284</v>
      </c>
      <c r="F30" s="57">
        <f>GETPIVOTDATA("dato",'[1]tabla dinámica pernocta'!$P$5,"categoría","4 *","año",2009)</f>
        <v>5628925</v>
      </c>
      <c r="G30" s="57">
        <f>GETPIVOTDATA("dato",'[1]tabla dinámica pernocta'!$P$5,"categoría","5 *","año",2009)</f>
        <v>1067234</v>
      </c>
      <c r="H30" s="57">
        <f>GETPIVOTDATA("dato",'[1]tabla dinámica pernocta'!$P$5,"categoría","HOTELEROS","año",2009)</f>
        <v>8343638</v>
      </c>
      <c r="I30" s="57">
        <f>GETPIVOTDATA("dato",'[1]tabla dinámica pernocta'!$P$5,"categoría","EXTRAHOTELEROS","año",2009)</f>
        <v>5175846</v>
      </c>
      <c r="J30" s="57">
        <f>GETPIVOTDATA("dato",'[1]tabla dinámica pernocta'!$P$5,"categoría","TOTAL","año",2009)</f>
        <v>13519484</v>
      </c>
    </row>
    <row r="31" spans="3:10" hidden="1" outlineLevel="1">
      <c r="C31" s="51" t="s">
        <v>37</v>
      </c>
      <c r="D31" s="52">
        <f>GETPIVOTDATA("dato",'[1]tabla dinámica pernocta'!$P$5,"categoría","1* y 2 *","mes",12,"año",2008)</f>
        <v>15681</v>
      </c>
      <c r="E31" s="52">
        <f>GETPIVOTDATA("dato",'[1]tabla dinámica pernocta'!$P$5,"categoría","3 *","mes",12,"año",2008)</f>
        <v>166390</v>
      </c>
      <c r="F31" s="52">
        <f>GETPIVOTDATA("dato",'[1]tabla dinámica pernocta'!$P$5,"categoría","4 *","mes",12,"año",2008)</f>
        <v>472531</v>
      </c>
      <c r="G31" s="52">
        <f>GETPIVOTDATA("dato",'[1]tabla dinámica pernocta'!$P$5,"categoría","5 *","mes",12,"año",2008)</f>
        <v>86407</v>
      </c>
      <c r="H31" s="52">
        <f>GETPIVOTDATA("dato",'[1]tabla dinámica pernocta'!$P$5,"categoría","HOTELEROS","mes",12,"año",2008)</f>
        <v>741009</v>
      </c>
      <c r="I31" s="52">
        <f>GETPIVOTDATA("dato",'[1]tabla dinámica pernocta'!$P$5,"categoría","EXTRAHOTELEROS","mes",12,"año",2008)</f>
        <v>486164</v>
      </c>
      <c r="J31" s="52">
        <f>GETPIVOTDATA("dato",'[1]tabla dinámica pernocta'!$P$5,"categoría","TOTAL","mes",12,"año",2008)</f>
        <v>1227173</v>
      </c>
    </row>
    <row r="32" spans="3:10" hidden="1" outlineLevel="1">
      <c r="C32" s="51" t="s">
        <v>38</v>
      </c>
      <c r="D32" s="52">
        <f>GETPIVOTDATA("dato",'[1]tabla dinámica pernocta'!$P$5,"categoría","1* y 2 *","mes",11,"año",2008)</f>
        <v>13862</v>
      </c>
      <c r="E32" s="52">
        <f>GETPIVOTDATA("dato",'[1]tabla dinámica pernocta'!$P$5,"categoría","3 *","mes",11,"año",2008)</f>
        <v>171810</v>
      </c>
      <c r="F32" s="52">
        <f>GETPIVOTDATA("dato",'[1]tabla dinámica pernocta'!$P$5,"categoría","4 *","mes",11,"año",2008)</f>
        <v>499451</v>
      </c>
      <c r="G32" s="52">
        <f>GETPIVOTDATA("dato",'[1]tabla dinámica pernocta'!$P$5,"categoría","5 *","mes",11,"año",2008)</f>
        <v>94168</v>
      </c>
      <c r="H32" s="52">
        <f>GETPIVOTDATA("dato",'[1]tabla dinámica pernocta'!$P$5,"categoría","HOTELEROS","mes",11,"año",2008)</f>
        <v>779291</v>
      </c>
      <c r="I32" s="52">
        <f>GETPIVOTDATA("dato",'[1]tabla dinámica pernocta'!$P$5,"categoría","EXTRAHOTELEROS","mes",11,"año",2008)</f>
        <v>476891</v>
      </c>
      <c r="J32" s="52">
        <f>GETPIVOTDATA("dato",'[1]tabla dinámica pernocta'!$P$5,"categoría","TOTAL","mes",11,"año",2008)</f>
        <v>1256182</v>
      </c>
    </row>
    <row r="33" spans="3:10" hidden="1" outlineLevel="1">
      <c r="C33" s="51" t="s">
        <v>39</v>
      </c>
      <c r="D33" s="52">
        <f>GETPIVOTDATA("dato",'[1]tabla dinámica pernocta'!$P$5,"categoría","1* y 2 *","mes",10,"año",2008)</f>
        <v>14357</v>
      </c>
      <c r="E33" s="52">
        <f>GETPIVOTDATA("dato",'[1]tabla dinámica pernocta'!$P$5,"categoría","3 *","mes",10,"año",2008)</f>
        <v>171698</v>
      </c>
      <c r="F33" s="52">
        <f>GETPIVOTDATA("dato",'[1]tabla dinámica pernocta'!$P$5,"categoría","4 *","mes",10,"año",2008)</f>
        <v>509552</v>
      </c>
      <c r="G33" s="52">
        <f>GETPIVOTDATA("dato",'[1]tabla dinámica pernocta'!$P$5,"categoría","5 *","mes",10,"año",2008)</f>
        <v>115625</v>
      </c>
      <c r="H33" s="52">
        <f>GETPIVOTDATA("dato",'[1]tabla dinámica pernocta'!$P$5,"categoría","HOTELEROS","mes",10,"año",2008)</f>
        <v>811232</v>
      </c>
      <c r="I33" s="52">
        <f>GETPIVOTDATA("dato",'[1]tabla dinámica pernocta'!$P$5,"categoría","EXTRAHOTELEROS","mes",10,"año",2008)</f>
        <v>475371</v>
      </c>
      <c r="J33" s="52">
        <f>GETPIVOTDATA("dato",'[1]tabla dinámica pernocta'!$P$5,"categoría","TOTAL","mes",10,"año",2008)</f>
        <v>1286603</v>
      </c>
    </row>
    <row r="34" spans="3:10" hidden="1" outlineLevel="1">
      <c r="C34" s="51" t="s">
        <v>40</v>
      </c>
      <c r="D34" s="52">
        <f>GETPIVOTDATA("dato",'[1]tabla dinámica pernocta'!$P$5,"categoría","1* y 2 *","mes",9,"año",2008)</f>
        <v>13090</v>
      </c>
      <c r="E34" s="52">
        <f>GETPIVOTDATA("dato",'[1]tabla dinámica pernocta'!$P$5,"categoría","3 *","mes",9,"año",2008)</f>
        <v>134095</v>
      </c>
      <c r="F34" s="52">
        <f>GETPIVOTDATA("dato",'[1]tabla dinámica pernocta'!$P$5,"categoría","4 *","mes",9,"año",2008)</f>
        <v>503329</v>
      </c>
      <c r="G34" s="52">
        <f>GETPIVOTDATA("dato",'[1]tabla dinámica pernocta'!$P$5,"categoría","5 *","mes",9,"año",2008)</f>
        <v>110927</v>
      </c>
      <c r="H34" s="52">
        <f>GETPIVOTDATA("dato",'[1]tabla dinámica pernocta'!$P$5,"categoría","HOTELEROS","mes",9,"año",2008)</f>
        <v>761441</v>
      </c>
      <c r="I34" s="52">
        <f>GETPIVOTDATA("dato",'[1]tabla dinámica pernocta'!$P$5,"categoría","EXTRAHOTELEROS","mes",9,"año",2008)</f>
        <v>431011</v>
      </c>
      <c r="J34" s="52">
        <f>GETPIVOTDATA("dato",'[1]tabla dinámica pernocta'!$P$5,"categoría","TOTAL","mes",9,"año",2008)</f>
        <v>1192452</v>
      </c>
    </row>
    <row r="35" spans="3:10" ht="15" hidden="1" customHeight="1" outlineLevel="1">
      <c r="C35" s="51" t="s">
        <v>41</v>
      </c>
      <c r="D35" s="52">
        <f>GETPIVOTDATA("dato",'[1]tabla dinámica pernocta'!$P$5,"categoría","1* y 2 *","mes",8,"año",2008)</f>
        <v>15096</v>
      </c>
      <c r="E35" s="52">
        <f>GETPIVOTDATA("dato",'[1]tabla dinámica pernocta'!$P$5,"categoría","3 *","mes",8,"año",2008)</f>
        <v>193071</v>
      </c>
      <c r="F35" s="52">
        <f>GETPIVOTDATA("dato",'[1]tabla dinámica pernocta'!$P$5,"categoría","4 *","mes",8,"año",2008)</f>
        <v>625901</v>
      </c>
      <c r="G35" s="52">
        <f>GETPIVOTDATA("dato",'[1]tabla dinámica pernocta'!$P$5,"categoría","5 *","mes",8,"año",2008)</f>
        <v>120660</v>
      </c>
      <c r="H35" s="52">
        <f>GETPIVOTDATA("dato",'[1]tabla dinámica pernocta'!$P$5,"categoría","HOTELEROS","mes",8,"año",2008)</f>
        <v>954728</v>
      </c>
      <c r="I35" s="52">
        <f>GETPIVOTDATA("dato",'[1]tabla dinámica pernocta'!$P$5,"categoría","EXTRAHOTELEROS","mes",8,"año",2008)</f>
        <v>644211</v>
      </c>
      <c r="J35" s="52">
        <f>GETPIVOTDATA("dato",'[1]tabla dinámica pernocta'!$P$5,"categoría","TOTAL","mes",8,"año",2008)</f>
        <v>1598939</v>
      </c>
    </row>
    <row r="36" spans="3:10" ht="15" hidden="1" customHeight="1" outlineLevel="1">
      <c r="C36" s="51" t="s">
        <v>42</v>
      </c>
      <c r="D36" s="52">
        <f>GETPIVOTDATA("dato",'[1]tabla dinámica pernocta'!$P$5,"categoría","1* y 2 *","mes",7,"año",2008)</f>
        <v>13790</v>
      </c>
      <c r="E36" s="52">
        <f>GETPIVOTDATA("dato",'[1]tabla dinámica pernocta'!$P$5,"categoría","3 *","mes",7,"año",2008)</f>
        <v>170032</v>
      </c>
      <c r="F36" s="52">
        <f>GETPIVOTDATA("dato",'[1]tabla dinámica pernocta'!$P$5,"categoría","4 *","mes",7,"año",2008)</f>
        <v>628648</v>
      </c>
      <c r="G36" s="52">
        <f>GETPIVOTDATA("dato",'[1]tabla dinámica pernocta'!$P$5,"categoría","5 *","mes",7,"año",2008)</f>
        <v>124413</v>
      </c>
      <c r="H36" s="52">
        <f>GETPIVOTDATA("dato",'[1]tabla dinámica pernocta'!$P$5,"categoría","HOTELEROS","mes",7,"año",2008)</f>
        <v>936883</v>
      </c>
      <c r="I36" s="52">
        <f>GETPIVOTDATA("dato",'[1]tabla dinámica pernocta'!$P$5,"categoría","EXTRAHOTELEROS","mes",7,"año",2008)</f>
        <v>557988</v>
      </c>
      <c r="J36" s="52">
        <f>GETPIVOTDATA("dato",'[1]tabla dinámica pernocta'!$P$5,"categoría","TOTAL","mes",7,"año",2008)</f>
        <v>1494871</v>
      </c>
    </row>
    <row r="37" spans="3:10" ht="15" hidden="1" customHeight="1" outlineLevel="1">
      <c r="C37" s="51" t="s">
        <v>43</v>
      </c>
      <c r="D37" s="52">
        <f>GETPIVOTDATA("dato",'[1]tabla dinámica pernocta'!$P$5,"categoría","1* y 2 *","mes",6,"año",2008)</f>
        <v>12811</v>
      </c>
      <c r="E37" s="52">
        <f>GETPIVOTDATA("dato",'[1]tabla dinámica pernocta'!$P$5,"categoría","3 *","mes",6,"año",2008)</f>
        <v>159098</v>
      </c>
      <c r="F37" s="52">
        <f>GETPIVOTDATA("dato",'[1]tabla dinámica pernocta'!$P$5,"categoría","4 *","mes",6,"año",2008)</f>
        <v>485047</v>
      </c>
      <c r="G37" s="52">
        <f>GETPIVOTDATA("dato",'[1]tabla dinámica pernocta'!$P$5,"categoría","5 *","mes",6,"año",2008)</f>
        <v>112680</v>
      </c>
      <c r="H37" s="52">
        <f>GETPIVOTDATA("dato",'[1]tabla dinámica pernocta'!$P$5,"categoría","HOTELEROS","mes",6,"año",2008)</f>
        <v>769636</v>
      </c>
      <c r="I37" s="52">
        <f>GETPIVOTDATA("dato",'[1]tabla dinámica pernocta'!$P$5,"categoría","EXTRAHOTELEROS","mes",6,"año",2008)</f>
        <v>447008</v>
      </c>
      <c r="J37" s="52">
        <f>GETPIVOTDATA("dato",'[1]tabla dinámica pernocta'!$P$5,"categoría","TOTAL","mes",6,"año",2008)</f>
        <v>1216644</v>
      </c>
    </row>
    <row r="38" spans="3:10" hidden="1" outlineLevel="1">
      <c r="C38" s="51" t="s">
        <v>44</v>
      </c>
      <c r="D38" s="52">
        <f>GETPIVOTDATA("dato",'[1]tabla dinámica pernocta'!$P$5,"categoría","1* y 2 *","mes",5,"año",2008)</f>
        <v>13424</v>
      </c>
      <c r="E38" s="52">
        <f>GETPIVOTDATA("dato",'[1]tabla dinámica pernocta'!$P$5,"categoría","3 *","mes",5,"año",2008)</f>
        <v>173386</v>
      </c>
      <c r="F38" s="52">
        <f>GETPIVOTDATA("dato",'[1]tabla dinámica pernocta'!$P$5,"categoría","4 *","mes",5,"año",2008)</f>
        <v>456431</v>
      </c>
      <c r="G38" s="52">
        <f>GETPIVOTDATA("dato",'[1]tabla dinámica pernocta'!$P$5,"categoría","5 *","mes",5,"año",2008)</f>
        <v>122828</v>
      </c>
      <c r="H38" s="52">
        <f>GETPIVOTDATA("dato",'[1]tabla dinámica pernocta'!$P$5,"categoría","HOTELEROS","mes",5,"año",2008)</f>
        <v>766069</v>
      </c>
      <c r="I38" s="52">
        <f>GETPIVOTDATA("dato",'[1]tabla dinámica pernocta'!$P$5,"categoría","EXTRAHOTELEROS","mes",5,"año",2008)</f>
        <v>433610</v>
      </c>
      <c r="J38" s="52">
        <f>GETPIVOTDATA("dato",'[1]tabla dinámica pernocta'!$P$5,"categoría","TOTAL","mes",5,"año",2008)</f>
        <v>1199679</v>
      </c>
    </row>
    <row r="39" spans="3:10" ht="30" hidden="1" customHeight="1" outlineLevel="1">
      <c r="C39" s="51" t="s">
        <v>45</v>
      </c>
      <c r="D39" s="52">
        <f>GETPIVOTDATA("dato",'[1]tabla dinámica pernocta'!$P$5,"categoría","1* y 2 *","mes",4,"año",2008)</f>
        <v>13229</v>
      </c>
      <c r="E39" s="52">
        <f>GETPIVOTDATA("dato",'[1]tabla dinámica pernocta'!$P$5,"categoría","3 *","mes",4,"año",2008)</f>
        <v>190277</v>
      </c>
      <c r="F39" s="52">
        <f>GETPIVOTDATA("dato",'[1]tabla dinámica pernocta'!$P$5,"categoría","4 *","mes",4,"año",2008)</f>
        <v>519254</v>
      </c>
      <c r="G39" s="52">
        <f>GETPIVOTDATA("dato",'[1]tabla dinámica pernocta'!$P$5,"categoría","5 *","mes",4,"año",2008)</f>
        <v>122546</v>
      </c>
      <c r="H39" s="52">
        <f>GETPIVOTDATA("dato",'[1]tabla dinámica pernocta'!$P$5,"categoría","HOTELEROS","mes",4,"año",2008)</f>
        <v>845306</v>
      </c>
      <c r="I39" s="52">
        <f>GETPIVOTDATA("dato",'[1]tabla dinámica pernocta'!$P$5,"categoría","EXTRAHOTELEROS","mes",4,"año",2008)</f>
        <v>472037</v>
      </c>
      <c r="J39" s="52">
        <f>GETPIVOTDATA("dato",'[1]tabla dinámica pernocta'!$P$5,"categoría","TOTAL","mes",4,"año",2008)</f>
        <v>1317343</v>
      </c>
    </row>
    <row r="40" spans="3:10" hidden="1" outlineLevel="1">
      <c r="C40" s="51" t="s">
        <v>46</v>
      </c>
      <c r="D40" s="52">
        <f>GETPIVOTDATA("dato",'[1]tabla dinámica pernocta'!$P$5,"categoría","1* y 2 *","mes",3,"año",2008)</f>
        <v>15490</v>
      </c>
      <c r="E40" s="52">
        <f>GETPIVOTDATA("dato",'[1]tabla dinámica pernocta'!$P$5,"categoría","3 *","mes",3,"año",2008)</f>
        <v>208004</v>
      </c>
      <c r="F40" s="52">
        <f>GETPIVOTDATA("dato",'[1]tabla dinámica pernocta'!$P$5,"categoría","4 *","mes",3,"año",2008)</f>
        <v>560180</v>
      </c>
      <c r="G40" s="52">
        <f>GETPIVOTDATA("dato",'[1]tabla dinámica pernocta'!$P$5,"categoría","5 *","mes",3,"año",2008)</f>
        <v>129271</v>
      </c>
      <c r="H40" s="52">
        <f>GETPIVOTDATA("dato",'[1]tabla dinámica pernocta'!$P$5,"categoría","HOTELEROS","mes",3,"año",2008)</f>
        <v>912945</v>
      </c>
      <c r="I40" s="52">
        <f>GETPIVOTDATA("dato",'[1]tabla dinámica pernocta'!$P$5,"categoría","EXTRAHOTELEROS","mes",3,"año",2008)</f>
        <v>597584</v>
      </c>
      <c r="J40" s="52">
        <f>GETPIVOTDATA("dato",'[1]tabla dinámica pernocta'!$P$5,"categoría","TOTAL","mes",3,"año",2008)</f>
        <v>1510529</v>
      </c>
    </row>
    <row r="41" spans="3:10" ht="30" hidden="1" customHeight="1" outlineLevel="1">
      <c r="C41" s="51" t="s">
        <v>47</v>
      </c>
      <c r="D41" s="52">
        <f>GETPIVOTDATA("dato",'[1]tabla dinámica pernocta'!$P$5,"categoría","1* y 2 *","mes",2,"año",2008)</f>
        <v>15178</v>
      </c>
      <c r="E41" s="52">
        <f>GETPIVOTDATA("dato",'[1]tabla dinámica pernocta'!$P$5,"categoría","3 *","mes",2,"año",2008)</f>
        <v>203476</v>
      </c>
      <c r="F41" s="52">
        <f>GETPIVOTDATA("dato",'[1]tabla dinámica pernocta'!$P$5,"categoría","4 *","mes",2,"año",2008)</f>
        <v>498652</v>
      </c>
      <c r="G41" s="52">
        <f>GETPIVOTDATA("dato",'[1]tabla dinámica pernocta'!$P$5,"categoría","5 *","mes",2,"año",2008)</f>
        <v>115453</v>
      </c>
      <c r="H41" s="52">
        <f>GETPIVOTDATA("dato",'[1]tabla dinámica pernocta'!$P$5,"categoría","HOTELEROS","mes",2,"año",2008)</f>
        <v>832759</v>
      </c>
      <c r="I41" s="52">
        <f>GETPIVOTDATA("dato",'[1]tabla dinámica pernocta'!$P$5,"categoría","EXTRAHOTELEROS","mes",2,"año",2008)</f>
        <v>563942</v>
      </c>
      <c r="J41" s="52">
        <f>GETPIVOTDATA("dato",'[1]tabla dinámica pernocta'!$P$5,"categoría","TOTAL","mes",2,"año",2008)</f>
        <v>1396701</v>
      </c>
    </row>
    <row r="42" spans="3:10" hidden="1" outlineLevel="1">
      <c r="C42" s="51" t="s">
        <v>48</v>
      </c>
      <c r="D42" s="52">
        <f>GETPIVOTDATA("dato",'[1]tabla dinámica pernocta'!$P$5,"categoría","1* y 2 *","mes",1,"año",2008)</f>
        <v>16103</v>
      </c>
      <c r="E42" s="52">
        <f>GETPIVOTDATA("dato",'[1]tabla dinámica pernocta'!$P$5,"categoría","3 *","mes",1,"año",2008)</f>
        <v>208545</v>
      </c>
      <c r="F42" s="52">
        <f>GETPIVOTDATA("dato",'[1]tabla dinámica pernocta'!$P$5,"categoría","4 *","mes",1,"año",2008)</f>
        <v>543102</v>
      </c>
      <c r="G42" s="52">
        <f>GETPIVOTDATA("dato",'[1]tabla dinámica pernocta'!$P$5,"categoría","5 *","mes",1,"año",2008)</f>
        <v>112477</v>
      </c>
      <c r="H42" s="52">
        <f>GETPIVOTDATA("dato",'[1]tabla dinámica pernocta'!$P$5,"categoría","HOTELEROS","mes",1,"año",2008)</f>
        <v>880227</v>
      </c>
      <c r="I42" s="52">
        <f>GETPIVOTDATA("dato",'[1]tabla dinámica pernocta'!$P$5,"categoría","EXTRAHOTELEROS","mes",1,"año",2008)</f>
        <v>570385</v>
      </c>
      <c r="J42" s="52">
        <f>GETPIVOTDATA("dato",'[1]tabla dinámica pernocta'!$P$5,"categoría","TOTAL","mes",1,"año",2008)</f>
        <v>1450612</v>
      </c>
    </row>
    <row r="43" spans="3:10" collapsed="1">
      <c r="C43" s="165">
        <v>2008</v>
      </c>
      <c r="D43" s="59">
        <f>GETPIVOTDATA("dato",'[1]tabla dinámica pernocta'!$P$5,"categoría","1* y 2 *","año",2008)</f>
        <v>172111</v>
      </c>
      <c r="E43" s="59">
        <f>GETPIVOTDATA("dato",'[1]tabla dinámica pernocta'!$P$5,"categoría","3 *","año",2008)</f>
        <v>2149882</v>
      </c>
      <c r="F43" s="59">
        <f>GETPIVOTDATA("dato",'[1]tabla dinámica pernocta'!$P$5,"categoría","4 *","año",2008)</f>
        <v>6302078</v>
      </c>
      <c r="G43" s="59">
        <f>GETPIVOTDATA("dato",'[1]tabla dinámica pernocta'!$P$5,"categoría","5 *","año",2008)</f>
        <v>1367455</v>
      </c>
      <c r="H43" s="59">
        <f>GETPIVOTDATA("dato",'[1]tabla dinámica pernocta'!$P$5,"categoría","HOTELEROS","año",2008)</f>
        <v>9991526</v>
      </c>
      <c r="I43" s="59">
        <f>GETPIVOTDATA("dato",'[1]tabla dinámica pernocta'!$P$5,"categoría","EXTRAHOTELEROS","año",2008)</f>
        <v>6156202</v>
      </c>
      <c r="J43" s="59">
        <f>GETPIVOTDATA("dato",'[1]tabla dinámica pernocta'!$P$5,"categoría","TOTAL","año",2008)</f>
        <v>16147728</v>
      </c>
    </row>
    <row r="44" spans="3:10" hidden="1" outlineLevel="1">
      <c r="C44" s="51" t="s">
        <v>37</v>
      </c>
      <c r="D44" s="52">
        <f>GETPIVOTDATA("dato",'[1]tabla dinámica pernocta'!$P$5,"categoría","1* y 2 *","mes",12,"año",2007)</f>
        <v>16212</v>
      </c>
      <c r="E44" s="52">
        <f>GETPIVOTDATA("dato",'[1]tabla dinámica pernocta'!$P$5,"categoría","3 *","mes",12,"año",2007)</f>
        <v>184327</v>
      </c>
      <c r="F44" s="52">
        <f>GETPIVOTDATA("dato",'[1]tabla dinámica pernocta'!$P$5,"categoría","4 *","mes",12,"año",2007)</f>
        <v>505243</v>
      </c>
      <c r="G44" s="52">
        <f>GETPIVOTDATA("dato",'[1]tabla dinámica pernocta'!$P$5,"categoría","5 *","mes",12,"año",2007)</f>
        <v>110856</v>
      </c>
      <c r="H44" s="52">
        <f>GETPIVOTDATA("dato",'[1]tabla dinámica pernocta'!$P$5,"categoría","HOTELEROS","mes",12,"año",2007)</f>
        <v>816638</v>
      </c>
      <c r="I44" s="52">
        <f>GETPIVOTDATA("dato",'[1]tabla dinámica pernocta'!$P$5,"categoría","EXTRAHOTELEROS","mes",12,"año",2007)</f>
        <v>543383</v>
      </c>
      <c r="J44" s="52">
        <f>GETPIVOTDATA("dato",'[1]tabla dinámica pernocta'!$P$5,"categoría","TOTAL","mes",12,"año",2007)</f>
        <v>1360021</v>
      </c>
    </row>
    <row r="45" spans="3:10" hidden="1" outlineLevel="1">
      <c r="C45" s="51" t="s">
        <v>38</v>
      </c>
      <c r="D45" s="52">
        <f>GETPIVOTDATA("dato",'[1]tabla dinámica pernocta'!$P$5,"categoría","1* y 2 *","mes",11,"año",2007)</f>
        <v>16460</v>
      </c>
      <c r="E45" s="52">
        <f>GETPIVOTDATA("dato",'[1]tabla dinámica pernocta'!$P$5,"categoría","3 *","mes",11,"año",2007)</f>
        <v>188900</v>
      </c>
      <c r="F45" s="52">
        <f>GETPIVOTDATA("dato",'[1]tabla dinámica pernocta'!$P$5,"categoría","4 *","mes",11,"año",2007)</f>
        <v>523577</v>
      </c>
      <c r="G45" s="52">
        <f>GETPIVOTDATA("dato",'[1]tabla dinámica pernocta'!$P$5,"categoría","5 *","mes",11,"año",2007)</f>
        <v>112970</v>
      </c>
      <c r="H45" s="52">
        <f>GETPIVOTDATA("dato",'[1]tabla dinámica pernocta'!$P$5,"categoría","HOTELEROS","mes",11,"año",2007)</f>
        <v>841907</v>
      </c>
      <c r="I45" s="52">
        <f>GETPIVOTDATA("dato",'[1]tabla dinámica pernocta'!$P$5,"categoría","EXTRAHOTELEROS","mes",11,"año",2007)</f>
        <v>541750</v>
      </c>
      <c r="J45" s="52">
        <f>GETPIVOTDATA("dato",'[1]tabla dinámica pernocta'!$P$5,"categoría","TOTAL","mes",11,"año",2007)</f>
        <v>1383657</v>
      </c>
    </row>
    <row r="46" spans="3:10" hidden="1" outlineLevel="1">
      <c r="C46" s="51" t="s">
        <v>39</v>
      </c>
      <c r="D46" s="52">
        <f>GETPIVOTDATA("dato",'[1]tabla dinámica pernocta'!$P$5,"categoría","1* y 2 *","mes",10,"año",2007)</f>
        <v>15686</v>
      </c>
      <c r="E46" s="52">
        <f>GETPIVOTDATA("dato",'[1]tabla dinámica pernocta'!$P$5,"categoría","3 *","mes",10,"año",2007)</f>
        <v>170420</v>
      </c>
      <c r="F46" s="52">
        <f>GETPIVOTDATA("dato",'[1]tabla dinámica pernocta'!$P$5,"categoría","4 *","mes",10,"año",2007)</f>
        <v>546562</v>
      </c>
      <c r="G46" s="52">
        <f>GETPIVOTDATA("dato",'[1]tabla dinámica pernocta'!$P$5,"categoría","5 *","mes",10,"año",2007)</f>
        <v>121741</v>
      </c>
      <c r="H46" s="52">
        <f>GETPIVOTDATA("dato",'[1]tabla dinámica pernocta'!$P$5,"categoría","HOTELEROS","mes",10,"año",2007)</f>
        <v>854409</v>
      </c>
      <c r="I46" s="52">
        <f>GETPIVOTDATA("dato",'[1]tabla dinámica pernocta'!$P$5,"categoría","EXTRAHOTELEROS","mes",10,"año",2007)</f>
        <v>520279</v>
      </c>
      <c r="J46" s="52">
        <f>GETPIVOTDATA("dato",'[1]tabla dinámica pernocta'!$P$5,"categoría","TOTAL","mes",10,"año",2007)</f>
        <v>1374688</v>
      </c>
    </row>
    <row r="47" spans="3:10" hidden="1" outlineLevel="1">
      <c r="C47" s="51" t="s">
        <v>40</v>
      </c>
      <c r="D47" s="52">
        <f>GETPIVOTDATA("dato",'[1]tabla dinámica pernocta'!$P$5,"categoría","1* y 2 *","mes",9,"año",2007)</f>
        <v>15196</v>
      </c>
      <c r="E47" s="52">
        <f>GETPIVOTDATA("dato",'[1]tabla dinámica pernocta'!$P$5,"categoría","3 *","mes",9,"año",2007)</f>
        <v>165541</v>
      </c>
      <c r="F47" s="52">
        <f>GETPIVOTDATA("dato",'[1]tabla dinámica pernocta'!$P$5,"categoría","4 *","mes",9,"año",2007)</f>
        <v>505936</v>
      </c>
      <c r="G47" s="52">
        <f>GETPIVOTDATA("dato",'[1]tabla dinámica pernocta'!$P$5,"categoría","5 *","mes",9,"año",2007)</f>
        <v>112379</v>
      </c>
      <c r="H47" s="52">
        <f>GETPIVOTDATA("dato",'[1]tabla dinámica pernocta'!$P$5,"categoría","HOTELEROS","mes",9,"año",2007)</f>
        <v>799052</v>
      </c>
      <c r="I47" s="52">
        <f>GETPIVOTDATA("dato",'[1]tabla dinámica pernocta'!$P$5,"categoría","EXTRAHOTELEROS","mes",9,"año",2007)</f>
        <v>444383</v>
      </c>
      <c r="J47" s="52">
        <f>GETPIVOTDATA("dato",'[1]tabla dinámica pernocta'!$P$5,"categoría","TOTAL","mes",9,"año",2007)</f>
        <v>1243435</v>
      </c>
    </row>
    <row r="48" spans="3:10" hidden="1" outlineLevel="1">
      <c r="C48" s="51" t="s">
        <v>41</v>
      </c>
      <c r="D48" s="52">
        <f>GETPIVOTDATA("dato",'[1]tabla dinámica pernocta'!$P$5,"categoría","1* y 2 *","mes",8,"año",2007)</f>
        <v>11149</v>
      </c>
      <c r="E48" s="52">
        <f>GETPIVOTDATA("dato",'[1]tabla dinámica pernocta'!$P$5,"categoría","3 *","mes",8,"año",2007)</f>
        <v>227646</v>
      </c>
      <c r="F48" s="52">
        <f>GETPIVOTDATA("dato",'[1]tabla dinámica pernocta'!$P$5,"categoría","4 *","mes",8,"año",2007)</f>
        <v>620252</v>
      </c>
      <c r="G48" s="52">
        <f>GETPIVOTDATA("dato",'[1]tabla dinámica pernocta'!$P$5,"categoría","5 *","mes",8,"año",2007)</f>
        <v>125433</v>
      </c>
      <c r="H48" s="52">
        <f>GETPIVOTDATA("dato",'[1]tabla dinámica pernocta'!$P$5,"categoría","HOTELEROS","mes",8,"año",2007)</f>
        <v>984480</v>
      </c>
      <c r="I48" s="52">
        <f>GETPIVOTDATA("dato",'[1]tabla dinámica pernocta'!$P$5,"categoría","EXTRAHOTELEROS","mes",8,"año",2007)</f>
        <v>652569</v>
      </c>
      <c r="J48" s="52">
        <f>GETPIVOTDATA("dato",'[1]tabla dinámica pernocta'!$P$5,"categoría","TOTAL","mes",8,"año",2007)</f>
        <v>1637049</v>
      </c>
    </row>
    <row r="49" spans="3:10" hidden="1" outlineLevel="1">
      <c r="C49" s="51" t="s">
        <v>42</v>
      </c>
      <c r="D49" s="52">
        <f>GETPIVOTDATA("dato",'[1]tabla dinámica pernocta'!$P$5,"categoría","1* y 2 *","mes",7,"año",2007)</f>
        <v>11110</v>
      </c>
      <c r="E49" s="52">
        <f>GETPIVOTDATA("dato",'[1]tabla dinámica pernocta'!$P$5,"categoría","3 *","mes",7,"año",2007)</f>
        <v>181141</v>
      </c>
      <c r="F49" s="52">
        <f>GETPIVOTDATA("dato",'[1]tabla dinámica pernocta'!$P$5,"categoría","4 *","mes",7,"año",2007)</f>
        <v>596834</v>
      </c>
      <c r="G49" s="52">
        <f>GETPIVOTDATA("dato",'[1]tabla dinámica pernocta'!$P$5,"categoría","5 *","mes",7,"año",2007)</f>
        <v>101399</v>
      </c>
      <c r="H49" s="52">
        <f>GETPIVOTDATA("dato",'[1]tabla dinámica pernocta'!$P$5,"categoría","HOTELEROS","mes",7,"año",2007)</f>
        <v>890484</v>
      </c>
      <c r="I49" s="52">
        <f>GETPIVOTDATA("dato",'[1]tabla dinámica pernocta'!$P$5,"categoría","EXTRAHOTELEROS","mes",7,"año",2007)</f>
        <v>521799</v>
      </c>
      <c r="J49" s="52">
        <f>GETPIVOTDATA("dato",'[1]tabla dinámica pernocta'!$P$5,"categoría","TOTAL","mes",7,"año",2007)</f>
        <v>1412283</v>
      </c>
    </row>
    <row r="50" spans="3:10" hidden="1" outlineLevel="1">
      <c r="C50" s="51" t="s">
        <v>43</v>
      </c>
      <c r="D50" s="52">
        <f>GETPIVOTDATA("dato",'[1]tabla dinámica pernocta'!$P$5,"categoría","1* y 2 *","mes",6,"año",2007)</f>
        <v>8307</v>
      </c>
      <c r="E50" s="52">
        <f>GETPIVOTDATA("dato",'[1]tabla dinámica pernocta'!$P$5,"categoría","3 *","mes",6,"año",2007)</f>
        <v>144332</v>
      </c>
      <c r="F50" s="52">
        <f>GETPIVOTDATA("dato",'[1]tabla dinámica pernocta'!$P$5,"categoría","4 *","mes",6,"año",2007)</f>
        <v>461738</v>
      </c>
      <c r="G50" s="52">
        <f>GETPIVOTDATA("dato",'[1]tabla dinámica pernocta'!$P$5,"categoría","5 *","mes",6,"año",2007)</f>
        <v>85201</v>
      </c>
      <c r="H50" s="52">
        <f>GETPIVOTDATA("dato",'[1]tabla dinámica pernocta'!$P$5,"categoría","HOTELEROS","mes",6,"año",2007)</f>
        <v>699578</v>
      </c>
      <c r="I50" s="52">
        <f>GETPIVOTDATA("dato",'[1]tabla dinámica pernocta'!$P$5,"categoría","EXTRAHOTELEROS","mes",6,"año",2007)</f>
        <v>398434</v>
      </c>
      <c r="J50" s="52">
        <f>GETPIVOTDATA("dato",'[1]tabla dinámica pernocta'!$P$5,"categoría","TOTAL","mes",6,"año",2007)</f>
        <v>1098012</v>
      </c>
    </row>
    <row r="51" spans="3:10" hidden="1" outlineLevel="1">
      <c r="C51" s="51" t="s">
        <v>44</v>
      </c>
      <c r="D51" s="52">
        <f>GETPIVOTDATA("dato",'[1]tabla dinámica pernocta'!$P$5,"categoría","1* y 2 *","mes",5,"año",2007)</f>
        <v>8504</v>
      </c>
      <c r="E51" s="52">
        <f>GETPIVOTDATA("dato",'[1]tabla dinámica pernocta'!$P$5,"categoría","3 *","mes",5,"año",2007)</f>
        <v>115404</v>
      </c>
      <c r="F51" s="52">
        <f>GETPIVOTDATA("dato",'[1]tabla dinámica pernocta'!$P$5,"categoría","4 *","mes",5,"año",2007)</f>
        <v>420689</v>
      </c>
      <c r="G51" s="52">
        <f>GETPIVOTDATA("dato",'[1]tabla dinámica pernocta'!$P$5,"categoría","5 *","mes",5,"año",2007)</f>
        <v>87856</v>
      </c>
      <c r="H51" s="52">
        <f>GETPIVOTDATA("dato",'[1]tabla dinámica pernocta'!$P$5,"categoría","HOTELEROS","mes",5,"año",2007)</f>
        <v>632453</v>
      </c>
      <c r="I51" s="52">
        <f>GETPIVOTDATA("dato",'[1]tabla dinámica pernocta'!$P$5,"categoría","EXTRAHOTELEROS","mes",5,"año",2007)</f>
        <v>372717</v>
      </c>
      <c r="J51" s="52">
        <f>GETPIVOTDATA("dato",'[1]tabla dinámica pernocta'!$P$5,"categoría","TOTAL","mes",5,"año",2007)</f>
        <v>1005170</v>
      </c>
    </row>
    <row r="52" spans="3:10" hidden="1" outlineLevel="1">
      <c r="C52" s="51" t="s">
        <v>45</v>
      </c>
      <c r="D52" s="52">
        <f>GETPIVOTDATA("dato",'[1]tabla dinámica pernocta'!$P$5,"categoría","1* y 2 *","mes",4,"año",2007)</f>
        <v>8358</v>
      </c>
      <c r="E52" s="52">
        <f>GETPIVOTDATA("dato",'[1]tabla dinámica pernocta'!$P$5,"categoría","3 *","mes",4,"año",2007)</f>
        <v>158943</v>
      </c>
      <c r="F52" s="52">
        <f>GETPIVOTDATA("dato",'[1]tabla dinámica pernocta'!$P$5,"categoría","4 *","mes",4,"año",2007)</f>
        <v>513368</v>
      </c>
      <c r="G52" s="52">
        <f>GETPIVOTDATA("dato",'[1]tabla dinámica pernocta'!$P$5,"categoría","5 *","mes",4,"año",2007)</f>
        <v>112669</v>
      </c>
      <c r="H52" s="52">
        <f>GETPIVOTDATA("dato",'[1]tabla dinámica pernocta'!$P$5,"categoría","HOTELEROS","mes",4,"año",2007)</f>
        <v>793338</v>
      </c>
      <c r="I52" s="52">
        <f>GETPIVOTDATA("dato",'[1]tabla dinámica pernocta'!$P$5,"categoría","EXTRAHOTELEROS","mes",4,"año",2007)</f>
        <v>503686</v>
      </c>
      <c r="J52" s="52">
        <f>GETPIVOTDATA("dato",'[1]tabla dinámica pernocta'!$P$5,"categoría","TOTAL","mes",4,"año",2007)</f>
        <v>1297024</v>
      </c>
    </row>
    <row r="53" spans="3:10" hidden="1" outlineLevel="1">
      <c r="C53" s="51" t="s">
        <v>46</v>
      </c>
      <c r="D53" s="52">
        <f>GETPIVOTDATA("dato",'[1]tabla dinámica pernocta'!$P$5,"categoría","1* y 2 *","mes",3,"año",2007)</f>
        <v>16693</v>
      </c>
      <c r="E53" s="52">
        <f>GETPIVOTDATA("dato",'[1]tabla dinámica pernocta'!$P$5,"categoría","3 *","mes",3,"año",2007)</f>
        <v>187257</v>
      </c>
      <c r="F53" s="52">
        <f>GETPIVOTDATA("dato",'[1]tabla dinámica pernocta'!$P$5,"categoría","4 *","mes",3,"año",2007)</f>
        <v>504569</v>
      </c>
      <c r="G53" s="52">
        <f>GETPIVOTDATA("dato",'[1]tabla dinámica pernocta'!$P$5,"categoría","5 *","mes",3,"año",2007)</f>
        <v>109866</v>
      </c>
      <c r="H53" s="52">
        <f>GETPIVOTDATA("dato",'[1]tabla dinámica pernocta'!$P$5,"categoría","HOTELEROS","mes",3,"año",2007)</f>
        <v>818385</v>
      </c>
      <c r="I53" s="52">
        <f>GETPIVOTDATA("dato",'[1]tabla dinámica pernocta'!$P$5,"categoría","EXTRAHOTELEROS","mes",3,"año",2007)</f>
        <v>599596</v>
      </c>
      <c r="J53" s="52">
        <f>GETPIVOTDATA("dato",'[1]tabla dinámica pernocta'!$P$5,"categoría","TOTAL","mes",3,"año",2007)</f>
        <v>1417981</v>
      </c>
    </row>
    <row r="54" spans="3:10" hidden="1" outlineLevel="1">
      <c r="C54" s="51" t="s">
        <v>47</v>
      </c>
      <c r="D54" s="52">
        <f>GETPIVOTDATA("dato",'[1]tabla dinámica pernocta'!$P$5,"categoría","1* y 2 *","mes",2,"año",2007)</f>
        <v>16320</v>
      </c>
      <c r="E54" s="52">
        <f>GETPIVOTDATA("dato",'[1]tabla dinámica pernocta'!$P$5,"categoría","3 *","mes",2,"año",2007)</f>
        <v>171560</v>
      </c>
      <c r="F54" s="52">
        <f>GETPIVOTDATA("dato",'[1]tabla dinámica pernocta'!$P$5,"categoría","4 *","mes",2,"año",2007)</f>
        <v>450587</v>
      </c>
      <c r="G54" s="52">
        <f>GETPIVOTDATA("dato",'[1]tabla dinámica pernocta'!$P$5,"categoría","5 *","mes",2,"año",2007)</f>
        <v>107015</v>
      </c>
      <c r="H54" s="52">
        <f>GETPIVOTDATA("dato",'[1]tabla dinámica pernocta'!$P$5,"categoría","HOTELEROS","mes",2,"año",2007)</f>
        <v>745482</v>
      </c>
      <c r="I54" s="52">
        <f>GETPIVOTDATA("dato",'[1]tabla dinámica pernocta'!$P$5,"categoría","EXTRAHOTELEROS","mes",2,"año",2007)</f>
        <v>543647</v>
      </c>
      <c r="J54" s="52">
        <f>GETPIVOTDATA("dato",'[1]tabla dinámica pernocta'!$P$5,"categoría","TOTAL","mes",2,"año",2007)</f>
        <v>1289129</v>
      </c>
    </row>
    <row r="55" spans="3:10" hidden="1" outlineLevel="1">
      <c r="C55" s="51" t="s">
        <v>48</v>
      </c>
      <c r="D55" s="52">
        <f>GETPIVOTDATA("dato",'[1]tabla dinámica pernocta'!$P$5,"categoría","1* y 2 *","mes",1,"año",2007)</f>
        <v>16721</v>
      </c>
      <c r="E55" s="52">
        <f>GETPIVOTDATA("dato",'[1]tabla dinámica pernocta'!$P$5,"categoría","3 *","mes",1,"año",2007)</f>
        <v>181899</v>
      </c>
      <c r="F55" s="52">
        <f>GETPIVOTDATA("dato",'[1]tabla dinámica pernocta'!$P$5,"categoría","4 *","mes",1,"año",2007)</f>
        <v>518379</v>
      </c>
      <c r="G55" s="52">
        <f>GETPIVOTDATA("dato",'[1]tabla dinámica pernocta'!$P$5,"categoría","5 *","mes",1,"año",2007)</f>
        <v>112827</v>
      </c>
      <c r="H55" s="52">
        <f>GETPIVOTDATA("dato",'[1]tabla dinámica pernocta'!$P$5,"categoría","HOTELEROS","mes",1,"año",2007)</f>
        <v>829826</v>
      </c>
      <c r="I55" s="52">
        <f>GETPIVOTDATA("dato",'[1]tabla dinámica pernocta'!$P$5,"categoría","EXTRAHOTELEROS","mes",1,"año",2007)</f>
        <v>574701</v>
      </c>
      <c r="J55" s="52">
        <f>GETPIVOTDATA("dato",'[1]tabla dinámica pernocta'!$P$5,"categoría","TOTAL","mes",1,"año",2007)</f>
        <v>1404527</v>
      </c>
    </row>
    <row r="56" spans="3:10" collapsed="1">
      <c r="C56" s="165">
        <v>2007</v>
      </c>
      <c r="D56" s="59">
        <f>GETPIVOTDATA("dato",'[1]tabla dinámica pernocta'!$P$5,"categoría","1* y 2 *","año",2007)</f>
        <v>160716</v>
      </c>
      <c r="E56" s="59">
        <f>GETPIVOTDATA("dato",'[1]tabla dinámica pernocta'!$P$5,"categoría","3 *","año",2007)</f>
        <v>2077370</v>
      </c>
      <c r="F56" s="59">
        <f>GETPIVOTDATA("dato",'[1]tabla dinámica pernocta'!$P$5,"categoría","4 *","año",2007)</f>
        <v>6167734</v>
      </c>
      <c r="G56" s="59">
        <f>GETPIVOTDATA("dato",'[1]tabla dinámica pernocta'!$P$5,"categoría","5 *","año",2007)</f>
        <v>1300212</v>
      </c>
      <c r="H56" s="59">
        <f>GETPIVOTDATA("dato",'[1]tabla dinámica pernocta'!$P$5,"categoría","HOTELEROS","año",2007)</f>
        <v>9706032</v>
      </c>
      <c r="I56" s="59">
        <f>GETPIVOTDATA("dato",'[1]tabla dinámica pernocta'!$P$5,"categoría","EXTRAHOTELEROS","año",2007)</f>
        <v>6216944</v>
      </c>
      <c r="J56" s="59">
        <f>GETPIVOTDATA("dato",'[1]tabla dinámica pernocta'!$P$5,"categoría","TOTAL","año",2007)</f>
        <v>15922976</v>
      </c>
    </row>
    <row r="57" spans="3:10" hidden="1" outlineLevel="1">
      <c r="C57" s="51" t="s">
        <v>37</v>
      </c>
      <c r="D57" s="52">
        <f>GETPIVOTDATA("dato",'[1]tabla dinámica pernocta'!$P$5,"categoría","1* y 2 *","mes",12,"año",2006)</f>
        <v>15302</v>
      </c>
      <c r="E57" s="52">
        <f>GETPIVOTDATA("dato",'[1]tabla dinámica pernocta'!$P$5,"categoría","3 *","mes",12,"año",2006)</f>
        <v>168528</v>
      </c>
      <c r="F57" s="52">
        <f>GETPIVOTDATA("dato",'[1]tabla dinámica pernocta'!$P$5,"categoría","4 *","mes",12,"año",2006)</f>
        <v>486394</v>
      </c>
      <c r="G57" s="52">
        <f>GETPIVOTDATA("dato",'[1]tabla dinámica pernocta'!$P$5,"categoría","5 *","mes",12,"año",2006)</f>
        <v>111682</v>
      </c>
      <c r="H57" s="52">
        <f>GETPIVOTDATA("dato",'[1]tabla dinámica pernocta'!$P$5,"categoría","HOTELEROS","mes",12,"año",2006)</f>
        <v>781906</v>
      </c>
      <c r="I57" s="52">
        <f>GETPIVOTDATA("dato",'[1]tabla dinámica pernocta'!$P$5,"categoría","EXTRAHOTELEROS","mes",12,"año",2006)</f>
        <v>529367</v>
      </c>
      <c r="J57" s="52">
        <f>GETPIVOTDATA("dato",'[1]tabla dinámica pernocta'!$P$5,"categoría","TOTAL","mes",12,"año",2006)</f>
        <v>1311273</v>
      </c>
    </row>
    <row r="58" spans="3:10" hidden="1" outlineLevel="1">
      <c r="C58" s="51" t="s">
        <v>38</v>
      </c>
      <c r="D58" s="52">
        <f>GETPIVOTDATA("dato",'[1]tabla dinámica pernocta'!$P$5,"categoría","1* y 2 *","mes",11,"año",2006)</f>
        <v>14722</v>
      </c>
      <c r="E58" s="52">
        <f>GETPIVOTDATA("dato",'[1]tabla dinámica pernocta'!$P$5,"categoría","3 *","mes",11,"año",2006)</f>
        <v>165771</v>
      </c>
      <c r="F58" s="52">
        <f>GETPIVOTDATA("dato",'[1]tabla dinámica pernocta'!$P$5,"categoría","4 *","mes",11,"año",2006)</f>
        <v>497181</v>
      </c>
      <c r="G58" s="52">
        <f>GETPIVOTDATA("dato",'[1]tabla dinámica pernocta'!$P$5,"categoría","5 *","mes",11,"año",2006)</f>
        <v>124713</v>
      </c>
      <c r="H58" s="52">
        <f>GETPIVOTDATA("dato",'[1]tabla dinámica pernocta'!$P$5,"categoría","HOTELEROS","mes",11,"año",2006)</f>
        <v>802387</v>
      </c>
      <c r="I58" s="52">
        <f>GETPIVOTDATA("dato",'[1]tabla dinámica pernocta'!$P$5,"categoría","EXTRAHOTELEROS","mes",11,"año",2006)</f>
        <v>522245</v>
      </c>
      <c r="J58" s="52">
        <f>GETPIVOTDATA("dato",'[1]tabla dinámica pernocta'!$P$5,"categoría","TOTAL","mes",11,"año",2006)</f>
        <v>1324632</v>
      </c>
    </row>
    <row r="59" spans="3:10" hidden="1" outlineLevel="1">
      <c r="C59" s="51" t="s">
        <v>39</v>
      </c>
      <c r="D59" s="52">
        <f>GETPIVOTDATA("dato",'[1]tabla dinámica pernocta'!$P$5,"categoría","1* y 2 *","mes",10,"año",2006)</f>
        <v>14649</v>
      </c>
      <c r="E59" s="52">
        <f>GETPIVOTDATA("dato",'[1]tabla dinámica pernocta'!$P$5,"categoría","3 *","mes",10,"año",2006)</f>
        <v>172544</v>
      </c>
      <c r="F59" s="52">
        <f>GETPIVOTDATA("dato",'[1]tabla dinámica pernocta'!$P$5,"categoría","4 *","mes",10,"año",2006)</f>
        <v>574862</v>
      </c>
      <c r="G59" s="52">
        <f>GETPIVOTDATA("dato",'[1]tabla dinámica pernocta'!$P$5,"categoría","5 *","mes",10,"año",2006)</f>
        <v>109807</v>
      </c>
      <c r="H59" s="52">
        <f>GETPIVOTDATA("dato",'[1]tabla dinámica pernocta'!$P$5,"categoría","HOTELEROS","mes",10,"año",2006)</f>
        <v>871862</v>
      </c>
      <c r="I59" s="52">
        <f>GETPIVOTDATA("dato",'[1]tabla dinámica pernocta'!$P$5,"categoría","EXTRAHOTELEROS","mes",10,"año",2006)</f>
        <v>535118</v>
      </c>
      <c r="J59" s="52">
        <f>GETPIVOTDATA("dato",'[1]tabla dinámica pernocta'!$P$5,"categoría","TOTAL","mes",10,"año",2006)</f>
        <v>1406980</v>
      </c>
    </row>
    <row r="60" spans="3:10" hidden="1" outlineLevel="1">
      <c r="C60" s="51" t="s">
        <v>40</v>
      </c>
      <c r="D60" s="52">
        <f>GETPIVOTDATA("dato",'[1]tabla dinámica pernocta'!$P$5,"categoría","1* y 2 *","mes",9,"año",2006)</f>
        <v>10883</v>
      </c>
      <c r="E60" s="52">
        <f>GETPIVOTDATA("dato",'[1]tabla dinámica pernocta'!$P$5,"categoría","3 *","mes",9,"año",2006)</f>
        <v>154890</v>
      </c>
      <c r="F60" s="52">
        <f>GETPIVOTDATA("dato",'[1]tabla dinámica pernocta'!$P$5,"categoría","4 *","mes",9,"año",2006)</f>
        <v>533506</v>
      </c>
      <c r="G60" s="52">
        <f>GETPIVOTDATA("dato",'[1]tabla dinámica pernocta'!$P$5,"categoría","5 *","mes",9,"año",2006)</f>
        <v>120129</v>
      </c>
      <c r="H60" s="52">
        <f>GETPIVOTDATA("dato",'[1]tabla dinámica pernocta'!$P$5,"categoría","HOTELEROS","mes",9,"año",2006)</f>
        <v>819408</v>
      </c>
      <c r="I60" s="52">
        <f>GETPIVOTDATA("dato",'[1]tabla dinámica pernocta'!$P$5,"categoría","EXTRAHOTELEROS","mes",9,"año",2006)</f>
        <v>497572</v>
      </c>
      <c r="J60" s="52">
        <f>GETPIVOTDATA("dato",'[1]tabla dinámica pernocta'!$P$5,"categoría","TOTAL","mes",9,"año",2006)</f>
        <v>1316980</v>
      </c>
    </row>
    <row r="61" spans="3:10" hidden="1" outlineLevel="1">
      <c r="C61" s="51" t="s">
        <v>41</v>
      </c>
      <c r="D61" s="52">
        <f>GETPIVOTDATA("dato",'[1]tabla dinámica pernocta'!$P$5,"categoría","1* y 2 *","mes",8,"año",2006)</f>
        <v>14472</v>
      </c>
      <c r="E61" s="52">
        <f>GETPIVOTDATA("dato",'[1]tabla dinámica pernocta'!$P$5,"categoría","3 *","mes",8,"año",2006)</f>
        <v>237084</v>
      </c>
      <c r="F61" s="52">
        <f>GETPIVOTDATA("dato",'[1]tabla dinámica pernocta'!$P$5,"categoría","4 *","mes",8,"año",2006)</f>
        <v>633568</v>
      </c>
      <c r="G61" s="52">
        <f>GETPIVOTDATA("dato",'[1]tabla dinámica pernocta'!$P$5,"categoría","5 *","mes",8,"año",2006)</f>
        <v>134707</v>
      </c>
      <c r="H61" s="52">
        <f>GETPIVOTDATA("dato",'[1]tabla dinámica pernocta'!$P$5,"categoría","HOTELEROS","mes",8,"año",2006)</f>
        <v>1019831</v>
      </c>
      <c r="I61" s="52">
        <f>GETPIVOTDATA("dato",'[1]tabla dinámica pernocta'!$P$5,"categoría","EXTRAHOTELEROS","mes",8,"año",2006)</f>
        <v>715256</v>
      </c>
      <c r="J61" s="52">
        <f>GETPIVOTDATA("dato",'[1]tabla dinámica pernocta'!$P$5,"categoría","TOTAL","mes",8,"año",2006)</f>
        <v>1735087</v>
      </c>
    </row>
    <row r="62" spans="3:10" hidden="1" outlineLevel="1">
      <c r="C62" s="51" t="s">
        <v>42</v>
      </c>
      <c r="D62" s="52">
        <f>GETPIVOTDATA("dato",'[1]tabla dinámica pernocta'!$P$5,"categoría","1* y 2 *","mes",7,"año",2006)</f>
        <v>13429</v>
      </c>
      <c r="E62" s="52">
        <f>GETPIVOTDATA("dato",'[1]tabla dinámica pernocta'!$P$5,"categoría","3 *","mes",7,"año",2006)</f>
        <v>200269</v>
      </c>
      <c r="F62" s="52">
        <f>GETPIVOTDATA("dato",'[1]tabla dinámica pernocta'!$P$5,"categoría","4 *","mes",7,"año",2006)</f>
        <v>592939</v>
      </c>
      <c r="G62" s="52">
        <f>GETPIVOTDATA("dato",'[1]tabla dinámica pernocta'!$P$5,"categoría","5 *","mes",7,"año",2006)</f>
        <v>114167</v>
      </c>
      <c r="H62" s="52">
        <f>GETPIVOTDATA("dato",'[1]tabla dinámica pernocta'!$P$5,"categoría","HOTELEROS","mes",7,"año",2006)</f>
        <v>920804</v>
      </c>
      <c r="I62" s="52">
        <f>GETPIVOTDATA("dato",'[1]tabla dinámica pernocta'!$P$5,"categoría","EXTRAHOTELEROS","mes",7,"año",2006)</f>
        <v>606394</v>
      </c>
      <c r="J62" s="52">
        <f>GETPIVOTDATA("dato",'[1]tabla dinámica pernocta'!$P$5,"categoría","TOTAL","mes",7,"año",2006)</f>
        <v>1527198</v>
      </c>
    </row>
    <row r="63" spans="3:10" hidden="1" outlineLevel="1">
      <c r="C63" s="51" t="s">
        <v>43</v>
      </c>
      <c r="D63" s="52">
        <f>GETPIVOTDATA("dato",'[1]tabla dinámica pernocta'!$P$5,"categoría","1* y 2 *","mes",6,"año",2006)</f>
        <v>11295</v>
      </c>
      <c r="E63" s="52">
        <f>GETPIVOTDATA("dato",'[1]tabla dinámica pernocta'!$P$5,"categoría","3 *","mes",6,"año",2006)</f>
        <v>160930</v>
      </c>
      <c r="F63" s="52">
        <f>GETPIVOTDATA("dato",'[1]tabla dinámica pernocta'!$P$5,"categoría","4 *","mes",6,"año",2006)</f>
        <v>487708</v>
      </c>
      <c r="G63" s="52">
        <f>GETPIVOTDATA("dato",'[1]tabla dinámica pernocta'!$P$5,"categoría","5 *","mes",6,"año",2006)</f>
        <v>92636</v>
      </c>
      <c r="H63" s="52">
        <f>GETPIVOTDATA("dato",'[1]tabla dinámica pernocta'!$P$5,"categoría","HOTELEROS","mes",6,"año",2006)</f>
        <v>752569</v>
      </c>
      <c r="I63" s="52">
        <f>GETPIVOTDATA("dato",'[1]tabla dinámica pernocta'!$P$5,"categoría","EXTRAHOTELEROS","mes",6,"año",2006)</f>
        <v>448442</v>
      </c>
      <c r="J63" s="52">
        <f>GETPIVOTDATA("dato",'[1]tabla dinámica pernocta'!$P$5,"categoría","TOTAL","mes",6,"año",2006)</f>
        <v>1201011</v>
      </c>
    </row>
    <row r="64" spans="3:10" hidden="1" outlineLevel="1">
      <c r="C64" s="51" t="s">
        <v>44</v>
      </c>
      <c r="D64" s="52">
        <f>GETPIVOTDATA("dato",'[1]tabla dinámica pernocta'!$P$5,"categoría","1* y 2 *","mes",5,"año",2006)</f>
        <v>11066</v>
      </c>
      <c r="E64" s="52">
        <f>GETPIVOTDATA("dato",'[1]tabla dinámica pernocta'!$P$5,"categoría","3 *","mes",5,"año",2006)</f>
        <v>151442</v>
      </c>
      <c r="F64" s="52">
        <f>GETPIVOTDATA("dato",'[1]tabla dinámica pernocta'!$P$5,"categoría","4 *","mes",5,"año",2006)</f>
        <v>456688</v>
      </c>
      <c r="G64" s="52">
        <f>GETPIVOTDATA("dato",'[1]tabla dinámica pernocta'!$P$5,"categoría","5 *","mes",5,"año",2006)</f>
        <v>93336</v>
      </c>
      <c r="H64" s="52">
        <f>GETPIVOTDATA("dato",'[1]tabla dinámica pernocta'!$P$5,"categoría","HOTELEROS","mes",5,"año",2006)</f>
        <v>712532</v>
      </c>
      <c r="I64" s="52">
        <f>GETPIVOTDATA("dato",'[1]tabla dinámica pernocta'!$P$5,"categoría","EXTRAHOTELEROS","mes",5,"año",2006)</f>
        <v>417400</v>
      </c>
      <c r="J64" s="52">
        <f>GETPIVOTDATA("dato",'[1]tabla dinámica pernocta'!$P$5,"categoría","TOTAL","mes",5,"año",2006)</f>
        <v>1129932</v>
      </c>
    </row>
    <row r="65" spans="3:10" hidden="1" outlineLevel="1">
      <c r="C65" s="51" t="s">
        <v>45</v>
      </c>
      <c r="D65" s="52">
        <f>GETPIVOTDATA("dato",'[1]tabla dinámica pernocta'!$P$5,"categoría","1* y 2 *","mes",4,"año",2006)</f>
        <v>13172</v>
      </c>
      <c r="E65" s="52">
        <f>GETPIVOTDATA("dato",'[1]tabla dinámica pernocta'!$P$5,"categoría","3 *","mes",4,"año",2006)</f>
        <v>187026</v>
      </c>
      <c r="F65" s="52">
        <f>GETPIVOTDATA("dato",'[1]tabla dinámica pernocta'!$P$5,"categoría","4 *","mes",4,"año",2006)</f>
        <v>540730</v>
      </c>
      <c r="G65" s="52">
        <f>GETPIVOTDATA("dato",'[1]tabla dinámica pernocta'!$P$5,"categoría","5 *","mes",4,"año",2006)</f>
        <v>111081</v>
      </c>
      <c r="H65" s="52">
        <f>GETPIVOTDATA("dato",'[1]tabla dinámica pernocta'!$P$5,"categoría","HOTELEROS","mes",4,"año",2006)</f>
        <v>852009</v>
      </c>
      <c r="I65" s="52">
        <f>GETPIVOTDATA("dato",'[1]tabla dinámica pernocta'!$P$5,"categoría","EXTRAHOTELEROS","mes",4,"año",2006)</f>
        <v>553496</v>
      </c>
      <c r="J65" s="52">
        <f>GETPIVOTDATA("dato",'[1]tabla dinámica pernocta'!$P$5,"categoría","TOTAL","mes",4,"año",2006)</f>
        <v>1405505</v>
      </c>
    </row>
    <row r="66" spans="3:10" hidden="1" outlineLevel="1">
      <c r="C66" s="51" t="s">
        <v>46</v>
      </c>
      <c r="D66" s="52">
        <f>GETPIVOTDATA("dato",'[1]tabla dinámica pernocta'!$P$5,"categoría","1* y 2 *","mes",3,"año",2006)</f>
        <v>14407</v>
      </c>
      <c r="E66" s="52">
        <f>GETPIVOTDATA("dato",'[1]tabla dinámica pernocta'!$P$5,"categoría","3 *","mes",3,"año",2006)</f>
        <v>198948</v>
      </c>
      <c r="F66" s="52">
        <f>GETPIVOTDATA("dato",'[1]tabla dinámica pernocta'!$P$5,"categoría","4 *","mes",3,"año",2006)</f>
        <v>511496</v>
      </c>
      <c r="G66" s="52">
        <f>GETPIVOTDATA("dato",'[1]tabla dinámica pernocta'!$P$5,"categoría","5 *","mes",3,"año",2006)</f>
        <v>115905</v>
      </c>
      <c r="H66" s="52">
        <f>GETPIVOTDATA("dato",'[1]tabla dinámica pernocta'!$P$5,"categoría","HOTELEROS","mes",3,"año",2006)</f>
        <v>840756</v>
      </c>
      <c r="I66" s="52">
        <f>GETPIVOTDATA("dato",'[1]tabla dinámica pernocta'!$P$5,"categoría","EXTRAHOTELEROS","mes",3,"año",2006)</f>
        <v>597888</v>
      </c>
      <c r="J66" s="52">
        <f>GETPIVOTDATA("dato",'[1]tabla dinámica pernocta'!$P$5,"categoría","TOTAL","mes",3,"año",2006)</f>
        <v>1438644</v>
      </c>
    </row>
    <row r="67" spans="3:10" hidden="1" outlineLevel="1">
      <c r="C67" s="51" t="s">
        <v>47</v>
      </c>
      <c r="D67" s="52">
        <f>GETPIVOTDATA("dato",'[1]tabla dinámica pernocta'!$P$5,"categoría","1* y 2 *","mes",2,"año",2006)</f>
        <v>14461</v>
      </c>
      <c r="E67" s="52">
        <f>GETPIVOTDATA("dato",'[1]tabla dinámica pernocta'!$P$5,"categoría","3 *","mes",2,"año",2006)</f>
        <v>187480</v>
      </c>
      <c r="F67" s="52">
        <f>GETPIVOTDATA("dato",'[1]tabla dinámica pernocta'!$P$5,"categoría","4 *","mes",2,"año",2006)</f>
        <v>456717</v>
      </c>
      <c r="G67" s="52">
        <f>GETPIVOTDATA("dato",'[1]tabla dinámica pernocta'!$P$5,"categoría","5 *","mes",2,"año",2006)</f>
        <v>104922</v>
      </c>
      <c r="H67" s="52">
        <f>GETPIVOTDATA("dato",'[1]tabla dinámica pernocta'!$P$5,"categoría","HOTELEROS","mes",2,"año",2006)</f>
        <v>763580</v>
      </c>
      <c r="I67" s="52">
        <f>GETPIVOTDATA("dato",'[1]tabla dinámica pernocta'!$P$5,"categoría","EXTRAHOTELEROS","mes",2,"año",2006)</f>
        <v>560282</v>
      </c>
      <c r="J67" s="52">
        <f>GETPIVOTDATA("dato",'[1]tabla dinámica pernocta'!$P$5,"categoría","TOTAL","mes",2,"año",2006)</f>
        <v>1323862</v>
      </c>
    </row>
    <row r="68" spans="3:10" hidden="1" outlineLevel="1">
      <c r="C68" s="51" t="s">
        <v>48</v>
      </c>
      <c r="D68" s="52">
        <f>GETPIVOTDATA("dato",'[1]tabla dinámica pernocta'!$P$5,"categoría","1* y 2 *","mes",1,"año",2006)</f>
        <v>15357</v>
      </c>
      <c r="E68" s="52">
        <f>GETPIVOTDATA("dato",'[1]tabla dinámica pernocta'!$P$5,"categoría","3 *","mes",1,"año",2006)</f>
        <v>208527</v>
      </c>
      <c r="F68" s="52">
        <f>GETPIVOTDATA("dato",'[1]tabla dinámica pernocta'!$P$5,"categoría","4 *","mes",1,"año",2006)</f>
        <v>537693</v>
      </c>
      <c r="G68" s="52">
        <f>GETPIVOTDATA("dato",'[1]tabla dinámica pernocta'!$P$5,"categoría","5 *","mes",1,"año",2006)</f>
        <v>104892</v>
      </c>
      <c r="H68" s="52">
        <f>GETPIVOTDATA("dato",'[1]tabla dinámica pernocta'!$P$5,"categoría","HOTELEROS","mes",1,"año",2006)</f>
        <v>866469</v>
      </c>
      <c r="I68" s="52">
        <f>GETPIVOTDATA("dato",'[1]tabla dinámica pernocta'!$P$5,"categoría","EXTRAHOTELEROS","mes",1,"año",2006)</f>
        <v>597814</v>
      </c>
      <c r="J68" s="52">
        <f>GETPIVOTDATA("dato",'[1]tabla dinámica pernocta'!$P$5,"categoría","TOTAL","mes",1,"año",2006)</f>
        <v>1464283</v>
      </c>
    </row>
    <row r="69" spans="3:10" collapsed="1">
      <c r="C69" s="165">
        <v>2006</v>
      </c>
      <c r="D69" s="59">
        <f>GETPIVOTDATA("dato",'[1]tabla dinámica pernocta'!$P$5,"categoría","1* y 2 *","año",2006)</f>
        <v>163215</v>
      </c>
      <c r="E69" s="59">
        <f>GETPIVOTDATA("dato",'[1]tabla dinámica pernocta'!$P$5,"categoría","3 *","año",2006)</f>
        <v>2193439</v>
      </c>
      <c r="F69" s="59">
        <f>GETPIVOTDATA("dato",'[1]tabla dinámica pernocta'!$P$5,"categoría","4 *","año",2006)</f>
        <v>6309482</v>
      </c>
      <c r="G69" s="59">
        <f>GETPIVOTDATA("dato",'[1]tabla dinámica pernocta'!$P$5,"categoría","5 *","año",2006)</f>
        <v>1337977</v>
      </c>
      <c r="H69" s="59">
        <f>GETPIVOTDATA("dato",'[1]tabla dinámica pernocta'!$P$5,"categoría","HOTELEROS","año",2006)</f>
        <v>10004113</v>
      </c>
      <c r="I69" s="59">
        <f>GETPIVOTDATA("dato",'[1]tabla dinámica pernocta'!$P$5,"categoría","EXTRAHOTELEROS","año",2006)</f>
        <v>6581274</v>
      </c>
      <c r="J69" s="59">
        <f>GETPIVOTDATA("dato",'[1]tabla dinámica pernocta'!$P$5,"categoría","TOTAL","año",2006)</f>
        <v>16585387</v>
      </c>
    </row>
    <row r="70" spans="3:10">
      <c r="C70" s="166" t="s">
        <v>32</v>
      </c>
      <c r="D70" s="166"/>
      <c r="E70" s="166"/>
      <c r="F70" s="166"/>
      <c r="G70" s="166"/>
      <c r="H70" s="166"/>
      <c r="I70" s="166"/>
      <c r="J70" s="166"/>
    </row>
  </sheetData>
  <mergeCells count="2">
    <mergeCell ref="C3:J3"/>
    <mergeCell ref="C70:J7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C2:J57"/>
  <sheetViews>
    <sheetView showGridLines="0" showRowColHeaders="0" topLeftCell="B1" zoomScaleNormal="100" workbookViewId="0">
      <selection activeCell="B25" sqref="B25"/>
    </sheetView>
  </sheetViews>
  <sheetFormatPr baseColWidth="10" defaultRowHeight="15" outlineLevelRow="1"/>
  <cols>
    <col min="1" max="1" width="14.28515625" customWidth="1"/>
    <col min="9" max="9" width="14" customWidth="1"/>
    <col min="12" max="12" width="12.85546875" customWidth="1"/>
  </cols>
  <sheetData>
    <row r="2" spans="3:10" ht="42.75" customHeight="1"/>
    <row r="3" spans="3:10" ht="30" customHeight="1">
      <c r="C3" s="160" t="s">
        <v>231</v>
      </c>
      <c r="D3" s="160"/>
      <c r="E3" s="160"/>
      <c r="F3" s="160"/>
      <c r="G3" s="160"/>
      <c r="H3" s="160"/>
      <c r="I3" s="160"/>
      <c r="J3" s="160"/>
    </row>
    <row r="4" spans="3:10" ht="45" customHeight="1">
      <c r="C4" s="161"/>
      <c r="D4" s="128" t="s">
        <v>114</v>
      </c>
      <c r="E4" s="128" t="s">
        <v>115</v>
      </c>
      <c r="F4" s="128" t="s">
        <v>116</v>
      </c>
      <c r="G4" s="128" t="s">
        <v>117</v>
      </c>
      <c r="H4" s="162" t="s">
        <v>34</v>
      </c>
      <c r="I4" s="162" t="s">
        <v>118</v>
      </c>
      <c r="J4" s="163" t="s">
        <v>36</v>
      </c>
    </row>
    <row r="5" spans="3:10" hidden="1">
      <c r="C5" s="51" t="s">
        <v>37</v>
      </c>
      <c r="D5" s="325" t="str">
        <f>IFERROR('tablas pernocta cat ev anual'!D5/'tablas pernocta cat ev anual'!D18-1,"-")</f>
        <v>-</v>
      </c>
      <c r="E5" s="325" t="str">
        <f>IFERROR('tablas pernocta cat ev anual'!E5/'tablas pernocta cat ev anual'!E18-1,"-")</f>
        <v>-</v>
      </c>
      <c r="F5" s="325" t="str">
        <f>IFERROR('tablas pernocta cat ev anual'!F5/'tablas pernocta cat ev anual'!F18-1,"-")</f>
        <v>-</v>
      </c>
      <c r="G5" s="325" t="str">
        <f>IFERROR('tablas pernocta cat ev anual'!G5/'tablas pernocta cat ev anual'!G18-1,"-")</f>
        <v>-</v>
      </c>
      <c r="H5" s="325" t="str">
        <f>IFERROR('tablas pernocta cat ev anual'!H5/'tablas pernocta cat ev anual'!H18-1,"-")</f>
        <v>-</v>
      </c>
      <c r="I5" s="325" t="str">
        <f>IFERROR('tablas pernocta cat ev anual'!I5/'tablas pernocta cat ev anual'!I18-1,"-")</f>
        <v>-</v>
      </c>
      <c r="J5" s="325" t="str">
        <f>IFERROR('tablas pernocta cat ev anual'!J5/'tablas pernocta cat ev anual'!J18-1,"-")</f>
        <v>-</v>
      </c>
    </row>
    <row r="6" spans="3:10" hidden="1">
      <c r="C6" s="51" t="s">
        <v>38</v>
      </c>
      <c r="D6" s="325" t="str">
        <f>IFERROR('tablas pernocta cat ev anual'!D6/'tablas pernocta cat ev anual'!D19-1,"-")</f>
        <v>-</v>
      </c>
      <c r="E6" s="325" t="str">
        <f>IFERROR('tablas pernocta cat ev anual'!E6/'tablas pernocta cat ev anual'!E19-1,"-")</f>
        <v>-</v>
      </c>
      <c r="F6" s="325" t="str">
        <f>IFERROR('tablas pernocta cat ev anual'!F6/'tablas pernocta cat ev anual'!F19-1,"-")</f>
        <v>-</v>
      </c>
      <c r="G6" s="325" t="str">
        <f>IFERROR('tablas pernocta cat ev anual'!G6/'tablas pernocta cat ev anual'!G19-1,"-")</f>
        <v>-</v>
      </c>
      <c r="H6" s="325" t="str">
        <f>IFERROR('tablas pernocta cat ev anual'!H6/'tablas pernocta cat ev anual'!H19-1,"-")</f>
        <v>-</v>
      </c>
      <c r="I6" s="325" t="str">
        <f>IFERROR('tablas pernocta cat ev anual'!I6/'tablas pernocta cat ev anual'!I19-1,"-")</f>
        <v>-</v>
      </c>
      <c r="J6" s="325" t="str">
        <f>IFERROR('tablas pernocta cat ev anual'!J6/'tablas pernocta cat ev anual'!J19-1,"-")</f>
        <v>-</v>
      </c>
    </row>
    <row r="7" spans="3:10" hidden="1">
      <c r="C7" s="51" t="s">
        <v>39</v>
      </c>
      <c r="D7" s="325" t="str">
        <f>IFERROR('tablas pernocta cat ev anual'!D7/'tablas pernocta cat ev anual'!D20-1,"-")</f>
        <v>-</v>
      </c>
      <c r="E7" s="325" t="str">
        <f>IFERROR('tablas pernocta cat ev anual'!E7/'tablas pernocta cat ev anual'!E20-1,"-")</f>
        <v>-</v>
      </c>
      <c r="F7" s="325" t="str">
        <f>IFERROR('tablas pernocta cat ev anual'!F7/'tablas pernocta cat ev anual'!F20-1,"-")</f>
        <v>-</v>
      </c>
      <c r="G7" s="325" t="str">
        <f>IFERROR('tablas pernocta cat ev anual'!G7/'tablas pernocta cat ev anual'!G20-1,"-")</f>
        <v>-</v>
      </c>
      <c r="H7" s="325" t="str">
        <f>IFERROR('tablas pernocta cat ev anual'!H7/'tablas pernocta cat ev anual'!H20-1,"-")</f>
        <v>-</v>
      </c>
      <c r="I7" s="325" t="str">
        <f>IFERROR('tablas pernocta cat ev anual'!I7/'tablas pernocta cat ev anual'!I20-1,"-")</f>
        <v>-</v>
      </c>
      <c r="J7" s="325" t="str">
        <f>IFERROR('tablas pernocta cat ev anual'!J7/'tablas pernocta cat ev anual'!J20-1,"-")</f>
        <v>-</v>
      </c>
    </row>
    <row r="8" spans="3:10" hidden="1">
      <c r="C8" s="51" t="s">
        <v>40</v>
      </c>
      <c r="D8" s="325" t="str">
        <f>IFERROR('tablas pernocta cat ev anual'!D8/'tablas pernocta cat ev anual'!D21-1,"-")</f>
        <v>-</v>
      </c>
      <c r="E8" s="325" t="str">
        <f>IFERROR('tablas pernocta cat ev anual'!E8/'tablas pernocta cat ev anual'!E21-1,"-")</f>
        <v>-</v>
      </c>
      <c r="F8" s="325" t="str">
        <f>IFERROR('tablas pernocta cat ev anual'!F8/'tablas pernocta cat ev anual'!F21-1,"-")</f>
        <v>-</v>
      </c>
      <c r="G8" s="325" t="str">
        <f>IFERROR('tablas pernocta cat ev anual'!G8/'tablas pernocta cat ev anual'!G21-1,"-")</f>
        <v>-</v>
      </c>
      <c r="H8" s="325" t="str">
        <f>IFERROR('tablas pernocta cat ev anual'!H8/'tablas pernocta cat ev anual'!H21-1,"-")</f>
        <v>-</v>
      </c>
      <c r="I8" s="325" t="str">
        <f>IFERROR('tablas pernocta cat ev anual'!I8/'tablas pernocta cat ev anual'!I21-1,"-")</f>
        <v>-</v>
      </c>
      <c r="J8" s="325" t="str">
        <f>IFERROR('tablas pernocta cat ev anual'!J8/'tablas pernocta cat ev anual'!J21-1,"-")</f>
        <v>-</v>
      </c>
    </row>
    <row r="9" spans="3:10" hidden="1">
      <c r="C9" s="51" t="s">
        <v>41</v>
      </c>
      <c r="D9" s="325" t="str">
        <f>IFERROR('tablas pernocta cat ev anual'!D9/'tablas pernocta cat ev anual'!D22-1,"-")</f>
        <v>-</v>
      </c>
      <c r="E9" s="325" t="str">
        <f>IFERROR('tablas pernocta cat ev anual'!E9/'tablas pernocta cat ev anual'!E22-1,"-")</f>
        <v>-</v>
      </c>
      <c r="F9" s="325" t="str">
        <f>IFERROR('tablas pernocta cat ev anual'!F9/'tablas pernocta cat ev anual'!F22-1,"-")</f>
        <v>-</v>
      </c>
      <c r="G9" s="325" t="str">
        <f>IFERROR('tablas pernocta cat ev anual'!G9/'tablas pernocta cat ev anual'!G22-1,"-")</f>
        <v>-</v>
      </c>
      <c r="H9" s="325" t="str">
        <f>IFERROR('tablas pernocta cat ev anual'!H9/'tablas pernocta cat ev anual'!H22-1,"-")</f>
        <v>-</v>
      </c>
      <c r="I9" s="325" t="str">
        <f>IFERROR('tablas pernocta cat ev anual'!I9/'tablas pernocta cat ev anual'!I22-1,"-")</f>
        <v>-</v>
      </c>
      <c r="J9" s="325" t="str">
        <f>IFERROR('tablas pernocta cat ev anual'!J9/'tablas pernocta cat ev anual'!J22-1,"-")</f>
        <v>-</v>
      </c>
    </row>
    <row r="10" spans="3:10">
      <c r="C10" s="51" t="s">
        <v>42</v>
      </c>
      <c r="D10" s="325">
        <f>IFERROR('tablas pernocta cat ev anual'!D10/'tablas pernocta cat ev anual'!D23-1,"-")</f>
        <v>4.7010190348010017E-2</v>
      </c>
      <c r="E10" s="325">
        <f>IFERROR('tablas pernocta cat ev anual'!E10/'tablas pernocta cat ev anual'!E23-1,"-")</f>
        <v>-0.15612805371894745</v>
      </c>
      <c r="F10" s="325">
        <f>IFERROR('tablas pernocta cat ev anual'!F10/'tablas pernocta cat ev anual'!F23-1,"-")</f>
        <v>9.2466266182190004E-2</v>
      </c>
      <c r="G10" s="325">
        <f>IFERROR('tablas pernocta cat ev anual'!G10/'tablas pernocta cat ev anual'!G23-1,"-")</f>
        <v>0.22800754871421747</v>
      </c>
      <c r="H10" s="325">
        <f>IFERROR('tablas pernocta cat ev anual'!H10/'tablas pernocta cat ev anual'!H23-1,"-")</f>
        <v>6.3926420857144395E-2</v>
      </c>
      <c r="I10" s="325">
        <f>IFERROR('tablas pernocta cat ev anual'!I10/'tablas pernocta cat ev anual'!I23-1,"-")</f>
        <v>6.053237377913856E-2</v>
      </c>
      <c r="J10" s="325">
        <f>IFERROR('tablas pernocta cat ev anual'!J10/'tablas pernocta cat ev anual'!J23-1,"-")</f>
        <v>6.2691066817865959E-2</v>
      </c>
    </row>
    <row r="11" spans="3:10">
      <c r="C11" s="51" t="s">
        <v>43</v>
      </c>
      <c r="D11" s="325">
        <f>IFERROR('tablas pernocta cat ev anual'!D11/'tablas pernocta cat ev anual'!D24-1,"-")</f>
        <v>0.19016519400691512</v>
      </c>
      <c r="E11" s="325">
        <f>IFERROR('tablas pernocta cat ev anual'!E11/'tablas pernocta cat ev anual'!E24-1,"-")</f>
        <v>-0.24538314756729751</v>
      </c>
      <c r="F11" s="325">
        <f>IFERROR('tablas pernocta cat ev anual'!F11/'tablas pernocta cat ev anual'!F24-1,"-")</f>
        <v>0.11581517828807586</v>
      </c>
      <c r="G11" s="325">
        <f>IFERROR('tablas pernocta cat ev anual'!G11/'tablas pernocta cat ev anual'!G24-1,"-")</f>
        <v>0.15143274893756575</v>
      </c>
      <c r="H11" s="325">
        <f>IFERROR('tablas pernocta cat ev anual'!H11/'tablas pernocta cat ev anual'!H24-1,"-")</f>
        <v>4.9377804911314493E-2</v>
      </c>
      <c r="I11" s="325">
        <f>IFERROR('tablas pernocta cat ev anual'!I11/'tablas pernocta cat ev anual'!I24-1,"-")</f>
        <v>-8.3864266123987452E-3</v>
      </c>
      <c r="J11" s="325">
        <f>IFERROR('tablas pernocta cat ev anual'!J11/'tablas pernocta cat ev anual'!J24-1,"-")</f>
        <v>2.8320468678580957E-2</v>
      </c>
    </row>
    <row r="12" spans="3:10">
      <c r="C12" s="51" t="s">
        <v>44</v>
      </c>
      <c r="D12" s="325">
        <f>IFERROR('tablas pernocta cat ev anual'!D12/'tablas pernocta cat ev anual'!D25-1,"-")</f>
        <v>-4.0060733473487486E-2</v>
      </c>
      <c r="E12" s="325">
        <f>IFERROR('tablas pernocta cat ev anual'!E12/'tablas pernocta cat ev anual'!E25-1,"-")</f>
        <v>9.7574650485612313E-3</v>
      </c>
      <c r="F12" s="325">
        <f>IFERROR('tablas pernocta cat ev anual'!F12/'tablas pernocta cat ev anual'!F25-1,"-")</f>
        <v>0.10763981751474194</v>
      </c>
      <c r="G12" s="325">
        <f>IFERROR('tablas pernocta cat ev anual'!G12/'tablas pernocta cat ev anual'!G25-1,"-")</f>
        <v>6.6056254037668349E-2</v>
      </c>
      <c r="H12" s="325">
        <f>IFERROR('tablas pernocta cat ev anual'!H12/'tablas pernocta cat ev anual'!H25-1,"-")</f>
        <v>8.1243170310022927E-2</v>
      </c>
      <c r="I12" s="325">
        <f>IFERROR('tablas pernocta cat ev anual'!I12/'tablas pernocta cat ev anual'!I25-1,"-")</f>
        <v>9.5381288750617799E-3</v>
      </c>
      <c r="J12" s="325">
        <f>IFERROR('tablas pernocta cat ev anual'!J12/'tablas pernocta cat ev anual'!J25-1,"-")</f>
        <v>5.6023396480771925E-2</v>
      </c>
    </row>
    <row r="13" spans="3:10">
      <c r="C13" s="51" t="s">
        <v>45</v>
      </c>
      <c r="D13" s="325">
        <f>IFERROR('tablas pernocta cat ev anual'!D13/'tablas pernocta cat ev anual'!D26-1,"-")</f>
        <v>-0.12808038075092543</v>
      </c>
      <c r="E13" s="325">
        <f>IFERROR('tablas pernocta cat ev anual'!E13/'tablas pernocta cat ev anual'!E26-1,"-")</f>
        <v>-0.15335735290639463</v>
      </c>
      <c r="F13" s="325">
        <f>IFERROR('tablas pernocta cat ev anual'!F13/'tablas pernocta cat ev anual'!F26-1,"-")</f>
        <v>3.2794528043775584E-2</v>
      </c>
      <c r="G13" s="325">
        <f>IFERROR('tablas pernocta cat ev anual'!G13/'tablas pernocta cat ev anual'!G26-1,"-")</f>
        <v>6.5799935051119141E-2</v>
      </c>
      <c r="H13" s="325">
        <f>IFERROR('tablas pernocta cat ev anual'!H13/'tablas pernocta cat ev anual'!H26-1,"-")</f>
        <v>2.8719126938536732E-4</v>
      </c>
      <c r="I13" s="325">
        <f>IFERROR('tablas pernocta cat ev anual'!I13/'tablas pernocta cat ev anual'!I26-1,"-")</f>
        <v>-9.5823870352990115E-2</v>
      </c>
      <c r="J13" s="325">
        <f>IFERROR('tablas pernocta cat ev anual'!J13/'tablas pernocta cat ev anual'!J26-1,"-")</f>
        <v>-3.62592387094548E-2</v>
      </c>
    </row>
    <row r="14" spans="3:10">
      <c r="C14" s="51" t="s">
        <v>46</v>
      </c>
      <c r="D14" s="325">
        <f>IFERROR('tablas pernocta cat ev anual'!D14/'tablas pernocta cat ev anual'!D27-1,"-")</f>
        <v>-0.13283699059561127</v>
      </c>
      <c r="E14" s="325">
        <f>IFERROR('tablas pernocta cat ev anual'!E14/'tablas pernocta cat ev anual'!E27-1,"-")</f>
        <v>-0.18647847897604275</v>
      </c>
      <c r="F14" s="325">
        <f>IFERROR('tablas pernocta cat ev anual'!F14/'tablas pernocta cat ev anual'!F27-1,"-")</f>
        <v>4.6088984287177892E-2</v>
      </c>
      <c r="G14" s="325">
        <f>IFERROR('tablas pernocta cat ev anual'!G14/'tablas pernocta cat ev anual'!G27-1,"-")</f>
        <v>0.17193224532521301</v>
      </c>
      <c r="H14" s="325">
        <f>IFERROR('tablas pernocta cat ev anual'!H14/'tablas pernocta cat ev anual'!H27-1,"-")</f>
        <v>6.6835489876388987E-3</v>
      </c>
      <c r="I14" s="325">
        <f>IFERROR('tablas pernocta cat ev anual'!I14/'tablas pernocta cat ev anual'!I27-1,"-")</f>
        <v>-5.2527388622461646E-2</v>
      </c>
      <c r="J14" s="325">
        <f>IFERROR('tablas pernocta cat ev anual'!J14/'tablas pernocta cat ev anual'!J27-1,"-")</f>
        <v>-1.7154822554183546E-2</v>
      </c>
    </row>
    <row r="15" spans="3:10">
      <c r="C15" s="51" t="s">
        <v>47</v>
      </c>
      <c r="D15" s="325">
        <f>IFERROR('tablas pernocta cat ev anual'!D15/'tablas pernocta cat ev anual'!D28-1,"-")</f>
        <v>0.1241308793456033</v>
      </c>
      <c r="E15" s="325">
        <f>IFERROR('tablas pernocta cat ev anual'!E15/'tablas pernocta cat ev anual'!E28-1,"-")</f>
        <v>-0.17203948491990295</v>
      </c>
      <c r="F15" s="325">
        <f>IFERROR('tablas pernocta cat ev anual'!F15/'tablas pernocta cat ev anual'!F28-1,"-")</f>
        <v>5.6647900770225412E-2</v>
      </c>
      <c r="G15" s="325">
        <f>IFERROR('tablas pernocta cat ev anual'!G15/'tablas pernocta cat ev anual'!G28-1,"-")</f>
        <v>4.7660279335918432E-2</v>
      </c>
      <c r="H15" s="325">
        <f>IFERROR('tablas pernocta cat ev anual'!H15/'tablas pernocta cat ev anual'!H28-1,"-")</f>
        <v>5.2761798251996783E-3</v>
      </c>
      <c r="I15" s="325">
        <f>IFERROR('tablas pernocta cat ev anual'!I15/'tablas pernocta cat ev anual'!I28-1,"-")</f>
        <v>-6.8373520385795694E-2</v>
      </c>
      <c r="J15" s="325">
        <f>IFERROR('tablas pernocta cat ev anual'!J15/'tablas pernocta cat ev anual'!J28-1,"-")</f>
        <v>-2.5021980350693696E-2</v>
      </c>
    </row>
    <row r="16" spans="3:10">
      <c r="C16" s="51" t="s">
        <v>48</v>
      </c>
      <c r="D16" s="325">
        <f>IFERROR('tablas pernocta cat ev anual'!D16/'tablas pernocta cat ev anual'!D29-1,"-")</f>
        <v>8.2252358490566113E-2</v>
      </c>
      <c r="E16" s="325">
        <f>IFERROR('tablas pernocta cat ev anual'!E16/'tablas pernocta cat ev anual'!E29-1,"-")</f>
        <v>-0.17117866253188618</v>
      </c>
      <c r="F16" s="325">
        <f>IFERROR('tablas pernocta cat ev anual'!F16/'tablas pernocta cat ev anual'!F29-1,"-")</f>
        <v>7.374781092930327E-3</v>
      </c>
      <c r="G16" s="325">
        <f>IFERROR('tablas pernocta cat ev anual'!G16/'tablas pernocta cat ev anual'!G29-1,"-")</f>
        <v>-0.11699999999999999</v>
      </c>
      <c r="H16" s="325">
        <f>IFERROR('tablas pernocta cat ev anual'!H16/'tablas pernocta cat ev anual'!H29-1,"-")</f>
        <v>-4.4257388003806297E-2</v>
      </c>
      <c r="I16" s="325">
        <f>IFERROR('tablas pernocta cat ev anual'!I16/'tablas pernocta cat ev anual'!I29-1,"-")</f>
        <v>-9.6136668155426541E-2</v>
      </c>
      <c r="J16" s="325">
        <f>IFERROR('tablas pernocta cat ev anual'!J16/'tablas pernocta cat ev anual'!J29-1,"-")</f>
        <v>-6.4817630768884138E-2</v>
      </c>
    </row>
    <row r="17" spans="3:10" ht="30">
      <c r="C17" s="69" t="s">
        <v>54</v>
      </c>
      <c r="D17" s="326">
        <f>IFERROR(('tablas pernocta cat ev anual'!D14+'tablas pernocta cat ev anual'!D15+'tablas pernocta cat ev anual'!D16+'tablas pernocta cat ev anual'!D13+'tablas pernocta cat ev anual'!D12+'tablas pernocta cat ev anual'!D11+'tablas pernocta cat ev anual'!D10)/('tablas pernocta cat ev anual'!D27+'tablas pernocta cat ev anual'!D28+'tablas pernocta cat ev anual'!D29+'tablas pernocta cat ev anual'!D26+'tablas pernocta cat ev anual'!D25+'tablas pernocta cat ev anual'!D24+'tablas pernocta cat ev anual'!D23)-1,"-")</f>
        <v>1.1255511719656441E-2</v>
      </c>
      <c r="E17" s="326">
        <f>IFERROR(('tablas pernocta cat ev anual'!E14+'tablas pernocta cat ev anual'!E15+'tablas pernocta cat ev anual'!E16+'tablas pernocta cat ev anual'!E13+'tablas pernocta cat ev anual'!E12+'tablas pernocta cat ev anual'!E11+'tablas pernocta cat ev anual'!E10)/('tablas pernocta cat ev anual'!E27+'tablas pernocta cat ev anual'!E28+'tablas pernocta cat ev anual'!E29+'tablas pernocta cat ev anual'!E26+'tablas pernocta cat ev anual'!E25+'tablas pernocta cat ev anual'!E24+'tablas pernocta cat ev anual'!E23)-1,"-")</f>
        <v>-0.15778347199902787</v>
      </c>
      <c r="F17" s="326">
        <f>IFERROR(('tablas pernocta cat ev anual'!F14+'tablas pernocta cat ev anual'!F15+'tablas pernocta cat ev anual'!F16+'tablas pernocta cat ev anual'!F13+'tablas pernocta cat ev anual'!F12+'tablas pernocta cat ev anual'!F11+'tablas pernocta cat ev anual'!F10)/('tablas pernocta cat ev anual'!F27+'tablas pernocta cat ev anual'!F28+'tablas pernocta cat ev anual'!F29+'tablas pernocta cat ev anual'!F26+'tablas pernocta cat ev anual'!F25+'tablas pernocta cat ev anual'!F24+'tablas pernocta cat ev anual'!F23)-1,"-")</f>
        <v>6.4213329714293499E-2</v>
      </c>
      <c r="G17" s="326">
        <f>IFERROR(('tablas pernocta cat ev anual'!G14+'tablas pernocta cat ev anual'!G15+'tablas pernocta cat ev anual'!G16+'tablas pernocta cat ev anual'!G13+'tablas pernocta cat ev anual'!G12+'tablas pernocta cat ev anual'!G11+'tablas pernocta cat ev anual'!G10)/('tablas pernocta cat ev anual'!G27+'tablas pernocta cat ev anual'!G28+'tablas pernocta cat ev anual'!G29+'tablas pernocta cat ev anual'!G26+'tablas pernocta cat ev anual'!G25+'tablas pernocta cat ev anual'!G24+'tablas pernocta cat ev anual'!G23)-1,"-")</f>
        <v>8.6301019576346283E-2</v>
      </c>
      <c r="H17" s="326">
        <f>IFERROR(('tablas pernocta cat ev anual'!H14+'tablas pernocta cat ev anual'!H15+'tablas pernocta cat ev anual'!H16+'tablas pernocta cat ev anual'!H13+'tablas pernocta cat ev anual'!H12+'tablas pernocta cat ev anual'!H11+'tablas pernocta cat ev anual'!H10)/('tablas pernocta cat ev anual'!H27+'tablas pernocta cat ev anual'!H28+'tablas pernocta cat ev anual'!H29+'tablas pernocta cat ev anual'!H26+'tablas pernocta cat ev anual'!H25+'tablas pernocta cat ev anual'!H24+'tablas pernocta cat ev anual'!H23)-1,"-")</f>
        <v>2.1629857085292858E-2</v>
      </c>
      <c r="I17" s="326">
        <f>IFERROR(('tablas pernocta cat ev anual'!I14+'tablas pernocta cat ev anual'!I15+'tablas pernocta cat ev anual'!I16+'tablas pernocta cat ev anual'!I13+'tablas pernocta cat ev anual'!I12+'tablas pernocta cat ev anual'!I11+'tablas pernocta cat ev anual'!I10)/('tablas pernocta cat ev anual'!I27+'tablas pernocta cat ev anual'!I28+'tablas pernocta cat ev anual'!I29+'tablas pernocta cat ev anual'!I26+'tablas pernocta cat ev anual'!I25+'tablas pernocta cat ev anual'!I24+'tablas pernocta cat ev anual'!I23)-1,"-")</f>
        <v>-3.9303995140527959E-2</v>
      </c>
      <c r="J17" s="326">
        <f>IFERROR(('tablas pernocta cat ev anual'!J14+'tablas pernocta cat ev anual'!J15+'tablas pernocta cat ev anual'!J16+'tablas pernocta cat ev anual'!J13+'tablas pernocta cat ev anual'!J12+'tablas pernocta cat ev anual'!J11+'tablas pernocta cat ev anual'!J10)/('tablas pernocta cat ev anual'!J27+'tablas pernocta cat ev anual'!J28+'tablas pernocta cat ev anual'!J29+'tablas pernocta cat ev anual'!J26+'tablas pernocta cat ev anual'!J25+'tablas pernocta cat ev anual'!J24+'tablas pernocta cat ev anual'!J23)-1,"-")</f>
        <v>-1.6935387347709607E-3</v>
      </c>
    </row>
    <row r="18" spans="3:10" hidden="1" outlineLevel="1">
      <c r="C18" s="51" t="s">
        <v>37</v>
      </c>
      <c r="D18" s="325">
        <f>IFERROR('tablas pernocta cat ev anual'!D18/'tablas pernocta cat ev anual'!D31-1,"-")</f>
        <v>-0.31777310120528024</v>
      </c>
      <c r="E18" s="325">
        <f>IFERROR('tablas pernocta cat ev anual'!E18/'tablas pernocta cat ev anual'!E31-1,"-")</f>
        <v>-0.27418715067011235</v>
      </c>
      <c r="F18" s="325">
        <f>IFERROR('tablas pernocta cat ev anual'!F18/'tablas pernocta cat ev anual'!F31-1,"-")</f>
        <v>-7.4555955059033563E-3</v>
      </c>
      <c r="G18" s="325">
        <f>IFERROR('tablas pernocta cat ev anual'!G18/'tablas pernocta cat ev anual'!G31-1,"-")</f>
        <v>-7.5861909336049194E-2</v>
      </c>
      <c r="H18" s="325">
        <f>IFERROR('tablas pernocta cat ev anual'!H18/'tablas pernocta cat ev anual'!H31-1,"-")</f>
        <v>-8.1892392669994596E-2</v>
      </c>
      <c r="I18" s="325">
        <f>IFERROR('tablas pernocta cat ev anual'!I18/'tablas pernocta cat ev anual'!I31-1,"-")</f>
        <v>-0.1075953793370138</v>
      </c>
      <c r="J18" s="325">
        <f>IFERROR('tablas pernocta cat ev anual'!J18/'tablas pernocta cat ev anual'!J31-1,"-")</f>
        <v>-9.2075037504899426E-2</v>
      </c>
    </row>
    <row r="19" spans="3:10" hidden="1" outlineLevel="1">
      <c r="C19" s="51" t="s">
        <v>38</v>
      </c>
      <c r="D19" s="325">
        <f>IFERROR('tablas pernocta cat ev anual'!D19/'tablas pernocta cat ev anual'!D32-1,"-")</f>
        <v>-0.28848650988313373</v>
      </c>
      <c r="E19" s="325">
        <f>IFERROR('tablas pernocta cat ev anual'!E19/'tablas pernocta cat ev anual'!E32-1,"-")</f>
        <v>-0.25458355159769508</v>
      </c>
      <c r="F19" s="325">
        <f>IFERROR('tablas pernocta cat ev anual'!F19/'tablas pernocta cat ev anual'!F32-1,"-")</f>
        <v>-6.9262049730604236E-2</v>
      </c>
      <c r="G19" s="325">
        <f>IFERROR('tablas pernocta cat ev anual'!G19/'tablas pernocta cat ev anual'!G32-1,"-")</f>
        <v>0.13721221646419157</v>
      </c>
      <c r="H19" s="325">
        <f>IFERROR('tablas pernocta cat ev anual'!H19/'tablas pernocta cat ev anual'!H32-1,"-")</f>
        <v>-8.9069423360464861E-2</v>
      </c>
      <c r="I19" s="325">
        <f>IFERROR('tablas pernocta cat ev anual'!I19/'tablas pernocta cat ev anual'!I32-1,"-")</f>
        <v>-9.6569236995455943E-2</v>
      </c>
      <c r="J19" s="325">
        <f>IFERROR('tablas pernocta cat ev anual'!J19/'tablas pernocta cat ev anual'!J32-1,"-")</f>
        <v>-9.1916617178084081E-2</v>
      </c>
    </row>
    <row r="20" spans="3:10" hidden="1" outlineLevel="1">
      <c r="C20" s="51" t="s">
        <v>39</v>
      </c>
      <c r="D20" s="325">
        <f>IFERROR('tablas pernocta cat ev anual'!D20/'tablas pernocta cat ev anual'!D33-1,"-")</f>
        <v>-0.41401406979173927</v>
      </c>
      <c r="E20" s="325">
        <f>IFERROR('tablas pernocta cat ev anual'!E20/'tablas pernocta cat ev anual'!E33-1,"-")</f>
        <v>-0.42373236729606634</v>
      </c>
      <c r="F20" s="325">
        <f>IFERROR('tablas pernocta cat ev anual'!F20/'tablas pernocta cat ev anual'!F33-1,"-")</f>
        <v>-3.2041872075862732E-2</v>
      </c>
      <c r="G20" s="325">
        <f>IFERROR('tablas pernocta cat ev anual'!G20/'tablas pernocta cat ev anual'!G33-1,"-")</f>
        <v>-0.15183567567567569</v>
      </c>
      <c r="H20" s="325">
        <f>IFERROR('tablas pernocta cat ev anual'!H20/'tablas pernocta cat ev anual'!H33-1,"-")</f>
        <v>-0.13877780955386376</v>
      </c>
      <c r="I20" s="325">
        <f>IFERROR('tablas pernocta cat ev anual'!I20/'tablas pernocta cat ev anual'!I33-1,"-")</f>
        <v>-0.15906523536353712</v>
      </c>
      <c r="J20" s="325">
        <f>IFERROR('tablas pernocta cat ev anual'!J20/'tablas pernocta cat ev anual'!J33-1,"-")</f>
        <v>-0.14627355913207107</v>
      </c>
    </row>
    <row r="21" spans="3:10" hidden="1" outlineLevel="1">
      <c r="C21" s="51" t="s">
        <v>40</v>
      </c>
      <c r="D21" s="325">
        <f>IFERROR('tablas pernocta cat ev anual'!D21/'tablas pernocta cat ev anual'!D34-1,"-")</f>
        <v>-0.32016806722689073</v>
      </c>
      <c r="E21" s="325">
        <f>IFERROR('tablas pernocta cat ev anual'!E21/'tablas pernocta cat ev anual'!E34-1,"-")</f>
        <v>-0.33443454267496919</v>
      </c>
      <c r="F21" s="325">
        <f>IFERROR('tablas pernocta cat ev anual'!F21/'tablas pernocta cat ev anual'!F34-1,"-")</f>
        <v>-7.4380772814600427E-2</v>
      </c>
      <c r="G21" s="325">
        <f>IFERROR('tablas pernocta cat ev anual'!G21/'tablas pernocta cat ev anual'!G34-1,"-")</f>
        <v>-0.11565263641854551</v>
      </c>
      <c r="H21" s="325">
        <f>IFERROR('tablas pernocta cat ev anual'!H21/'tablas pernocta cat ev anual'!H34-1,"-")</f>
        <v>-0.13041588251748981</v>
      </c>
      <c r="I21" s="325">
        <f>IFERROR('tablas pernocta cat ev anual'!I21/'tablas pernocta cat ev anual'!I34-1,"-")</f>
        <v>-8.230880418365194E-2</v>
      </c>
      <c r="J21" s="325">
        <f>IFERROR('tablas pernocta cat ev anual'!J21/'tablas pernocta cat ev anual'!J34-1,"-")</f>
        <v>-0.1130276103356781</v>
      </c>
    </row>
    <row r="22" spans="3:10" hidden="1" outlineLevel="1">
      <c r="C22" s="51" t="s">
        <v>41</v>
      </c>
      <c r="D22" s="325">
        <f>IFERROR('tablas pernocta cat ev anual'!D22/'tablas pernocta cat ev anual'!D35-1,"-")</f>
        <v>-0.31253312135665079</v>
      </c>
      <c r="E22" s="325">
        <f>IFERROR('tablas pernocta cat ev anual'!E22/'tablas pernocta cat ev anual'!E35-1,"-")</f>
        <v>-0.28172019619725386</v>
      </c>
      <c r="F22" s="325">
        <f>IFERROR('tablas pernocta cat ev anual'!F22/'tablas pernocta cat ev anual'!F35-1,"-")</f>
        <v>-6.9737865892529283E-2</v>
      </c>
      <c r="G22" s="325">
        <f>IFERROR('tablas pernocta cat ev anual'!G22/'tablas pernocta cat ev anual'!G35-1,"-")</f>
        <v>-0.15934858279462949</v>
      </c>
      <c r="H22" s="325">
        <f>IFERROR('tablas pernocta cat ev anual'!H22/'tablas pernocta cat ev anual'!H35-1,"-")</f>
        <v>-0.12777042257061699</v>
      </c>
      <c r="I22" s="325">
        <f>IFERROR('tablas pernocta cat ev anual'!I22/'tablas pernocta cat ev anual'!I35-1,"-")</f>
        <v>-0.12435366673341497</v>
      </c>
      <c r="J22" s="325">
        <f>IFERROR('tablas pernocta cat ev anual'!J22/'tablas pernocta cat ev anual'!J35-1,"-")</f>
        <v>-0.12639381489850454</v>
      </c>
    </row>
    <row r="23" spans="3:10" hidden="1" outlineLevel="1">
      <c r="C23" s="51" t="s">
        <v>42</v>
      </c>
      <c r="D23" s="325">
        <f>IFERROR('tablas pernocta cat ev anual'!D23/'tablas pernocta cat ev anual'!D36-1,"-")</f>
        <v>-0.24568527918781724</v>
      </c>
      <c r="E23" s="325">
        <f>IFERROR('tablas pernocta cat ev anual'!E23/'tablas pernocta cat ev anual'!E36-1,"-")</f>
        <v>-0.2012209466453373</v>
      </c>
      <c r="F23" s="325">
        <f>IFERROR('tablas pernocta cat ev anual'!F23/'tablas pernocta cat ev anual'!F36-1,"-")</f>
        <v>-0.12881294460492998</v>
      </c>
      <c r="G23" s="325">
        <f>IFERROR('tablas pernocta cat ev anual'!G23/'tablas pernocta cat ev anual'!G36-1,"-")</f>
        <v>-0.29298385216978928</v>
      </c>
      <c r="H23" s="325">
        <f>IFERROR('tablas pernocta cat ev anual'!H23/'tablas pernocta cat ev anual'!H36-1,"-")</f>
        <v>-0.16547530481394157</v>
      </c>
      <c r="I23" s="325">
        <f>IFERROR('tablas pernocta cat ev anual'!I23/'tablas pernocta cat ev anual'!I36-1,"-")</f>
        <v>-0.1981368774955734</v>
      </c>
      <c r="J23" s="325">
        <f>IFERROR('tablas pernocta cat ev anual'!J23/'tablas pernocta cat ev anual'!J36-1,"-")</f>
        <v>-0.17766683546607032</v>
      </c>
    </row>
    <row r="24" spans="3:10" hidden="1" outlineLevel="1">
      <c r="C24" s="51" t="s">
        <v>43</v>
      </c>
      <c r="D24" s="325">
        <f>IFERROR('tablas pernocta cat ev anual'!D24/'tablas pernocta cat ev anual'!D37-1,"-")</f>
        <v>-0.39044571071735223</v>
      </c>
      <c r="E24" s="325">
        <f>IFERROR('tablas pernocta cat ev anual'!E24/'tablas pernocta cat ev anual'!E37-1,"-")</f>
        <v>-0.23250449408540652</v>
      </c>
      <c r="F24" s="325">
        <f>IFERROR('tablas pernocta cat ev anual'!F24/'tablas pernocta cat ev anual'!F37-1,"-")</f>
        <v>-0.14897525394446309</v>
      </c>
      <c r="G24" s="325">
        <f>IFERROR('tablas pernocta cat ev anual'!G24/'tablas pernocta cat ev anual'!G37-1,"-")</f>
        <v>-0.35054135605253811</v>
      </c>
      <c r="H24" s="325">
        <f>IFERROR('tablas pernocta cat ev anual'!H24/'tablas pernocta cat ev anual'!H37-1,"-")</f>
        <v>-0.19977235992079367</v>
      </c>
      <c r="I24" s="325">
        <f>IFERROR('tablas pernocta cat ev anual'!I24/'tablas pernocta cat ev anual'!I37-1,"-")</f>
        <v>-0.20961369818884679</v>
      </c>
      <c r="J24" s="325">
        <f>IFERROR('tablas pernocta cat ev anual'!J24/'tablas pernocta cat ev anual'!J37-1,"-")</f>
        <v>-0.20338817271116283</v>
      </c>
    </row>
    <row r="25" spans="3:10" hidden="1" outlineLevel="1">
      <c r="C25" s="51" t="s">
        <v>44</v>
      </c>
      <c r="D25" s="325">
        <f>IFERROR('tablas pernocta cat ev anual'!D25/'tablas pernocta cat ev anual'!D38-1,"-")</f>
        <v>-0.36218712753277715</v>
      </c>
      <c r="E25" s="325">
        <f>IFERROR('tablas pernocta cat ev anual'!E25/'tablas pernocta cat ev anual'!E38-1,"-")</f>
        <v>-0.36222070986123445</v>
      </c>
      <c r="F25" s="325">
        <f>IFERROR('tablas pernocta cat ev anual'!F25/'tablas pernocta cat ev anual'!F38-1,"-")</f>
        <v>-0.15622076502253357</v>
      </c>
      <c r="G25" s="325">
        <f>IFERROR('tablas pernocta cat ev anual'!G25/'tablas pernocta cat ev anual'!G38-1,"-")</f>
        <v>-0.34467710945387042</v>
      </c>
      <c r="H25" s="325">
        <f>IFERROR('tablas pernocta cat ev anual'!H25/'tablas pernocta cat ev anual'!H38-1,"-")</f>
        <v>-0.23667058711421551</v>
      </c>
      <c r="I25" s="325">
        <f>IFERROR('tablas pernocta cat ev anual'!I25/'tablas pernocta cat ev anual'!I38-1,"-")</f>
        <v>-0.26834482599571041</v>
      </c>
      <c r="J25" s="325">
        <f>IFERROR('tablas pernocta cat ev anual'!J25/'tablas pernocta cat ev anual'!J38-1,"-")</f>
        <v>-0.24811887179820602</v>
      </c>
    </row>
    <row r="26" spans="3:10" hidden="1" outlineLevel="1">
      <c r="C26" s="51" t="s">
        <v>45</v>
      </c>
      <c r="D26" s="325">
        <f>IFERROR('tablas pernocta cat ev anual'!D26/'tablas pernocta cat ev anual'!D39-1,"-")</f>
        <v>-0.28528233426562855</v>
      </c>
      <c r="E26" s="325">
        <f>IFERROR('tablas pernocta cat ev anual'!E26/'tablas pernocta cat ev anual'!E39-1,"-")</f>
        <v>-0.33338764012466038</v>
      </c>
      <c r="F26" s="325">
        <f>IFERROR('tablas pernocta cat ev anual'!F26/'tablas pernocta cat ev anual'!F39-1,"-")</f>
        <v>-0.12013195854052161</v>
      </c>
      <c r="G26" s="325">
        <f>IFERROR('tablas pernocta cat ev anual'!G26/'tablas pernocta cat ev anual'!G39-1,"-")</f>
        <v>-0.27128588448419366</v>
      </c>
      <c r="H26" s="325">
        <f>IFERROR('tablas pernocta cat ev anual'!H26/'tablas pernocta cat ev anual'!H39-1,"-")</f>
        <v>-0.1926332002848673</v>
      </c>
      <c r="I26" s="325">
        <f>IFERROR('tablas pernocta cat ev anual'!I26/'tablas pernocta cat ev anual'!I39-1,"-")</f>
        <v>-0.11291487743545525</v>
      </c>
      <c r="J26" s="325">
        <f>IFERROR('tablas pernocta cat ev anual'!J26/'tablas pernocta cat ev anual'!J39-1,"-")</f>
        <v>-0.16406812804258264</v>
      </c>
    </row>
    <row r="27" spans="3:10" hidden="1" outlineLevel="1">
      <c r="C27" s="51" t="s">
        <v>46</v>
      </c>
      <c r="D27" s="325">
        <f>IFERROR('tablas pernocta cat ev anual'!D27/'tablas pernocta cat ev anual'!D40-1,"-")</f>
        <v>-0.17624273724983863</v>
      </c>
      <c r="E27" s="325">
        <f>IFERROR('tablas pernocta cat ev anual'!E27/'tablas pernocta cat ev anual'!E40-1,"-")</f>
        <v>-0.26493240514605487</v>
      </c>
      <c r="F27" s="325">
        <f>IFERROR('tablas pernocta cat ev anual'!F27/'tablas pernocta cat ev anual'!F40-1,"-")</f>
        <v>-0.21074833089364131</v>
      </c>
      <c r="G27" s="325">
        <f>IFERROR('tablas pernocta cat ev anual'!G27/'tablas pernocta cat ev anual'!G40-1,"-")</f>
        <v>-0.34967626149716491</v>
      </c>
      <c r="H27" s="325">
        <f>IFERROR('tablas pernocta cat ev anual'!H27/'tablas pernocta cat ev anual'!H40-1,"-")</f>
        <v>-0.24217997798333968</v>
      </c>
      <c r="I27" s="325">
        <f>IFERROR('tablas pernocta cat ev anual'!I27/'tablas pernocta cat ev anual'!I40-1,"-")</f>
        <v>-0.21977161369782328</v>
      </c>
      <c r="J27" s="325">
        <f>IFERROR('tablas pernocta cat ev anual'!J27/'tablas pernocta cat ev anual'!J40-1,"-")</f>
        <v>-0.23331495125217727</v>
      </c>
    </row>
    <row r="28" spans="3:10" hidden="1" outlineLevel="1">
      <c r="C28" s="51" t="s">
        <v>47</v>
      </c>
      <c r="D28" s="325">
        <f>IFERROR('tablas pernocta cat ev anual'!D28/'tablas pernocta cat ev anual'!D41-1,"-")</f>
        <v>-0.35564633021478453</v>
      </c>
      <c r="E28" s="325">
        <f>IFERROR('tablas pernocta cat ev anual'!E28/'tablas pernocta cat ev anual'!E41-1,"-")</f>
        <v>-0.28057854488981504</v>
      </c>
      <c r="F28" s="325">
        <f>IFERROR('tablas pernocta cat ev anual'!F28/'tablas pernocta cat ev anual'!F41-1,"-")</f>
        <v>-0.16396404707090317</v>
      </c>
      <c r="G28" s="325">
        <f>IFERROR('tablas pernocta cat ev anual'!G28/'tablas pernocta cat ev anual'!G41-1,"-")</f>
        <v>-0.30977107567581619</v>
      </c>
      <c r="H28" s="325">
        <f>IFERROR('tablas pernocta cat ev anual'!H28/'tablas pernocta cat ev anual'!H41-1,"-")</f>
        <v>-0.21616578145657983</v>
      </c>
      <c r="I28" s="325">
        <f>IFERROR('tablas pernocta cat ev anual'!I28/'tablas pernocta cat ev anual'!I41-1,"-")</f>
        <v>-0.1910515620400679</v>
      </c>
      <c r="J28" s="325">
        <f>IFERROR('tablas pernocta cat ev anual'!J28/'tablas pernocta cat ev anual'!J41-1,"-")</f>
        <v>-0.20602548433773582</v>
      </c>
    </row>
    <row r="29" spans="3:10" hidden="1" outlineLevel="1">
      <c r="C29" s="51" t="s">
        <v>48</v>
      </c>
      <c r="D29" s="325">
        <f>IFERROR('tablas pernocta cat ev anual'!D29/'tablas pernocta cat ev anual'!D42-1,"-")</f>
        <v>-0.36806806185182883</v>
      </c>
      <c r="E29" s="325">
        <f>IFERROR('tablas pernocta cat ev anual'!E29/'tablas pernocta cat ev anual'!E42-1,"-")</f>
        <v>-0.23304802320842022</v>
      </c>
      <c r="F29" s="325">
        <f>IFERROR('tablas pernocta cat ev anual'!F29/'tablas pernocta cat ev anual'!F42-1,"-")</f>
        <v>-9.3691424446973093E-2</v>
      </c>
      <c r="G29" s="325">
        <f>IFERROR('tablas pernocta cat ev anual'!G29/'tablas pernocta cat ev anual'!G42-1,"-")</f>
        <v>-0.21761782408848029</v>
      </c>
      <c r="H29" s="325">
        <f>IFERROR('tablas pernocta cat ev anual'!H29/'tablas pernocta cat ev anual'!H42-1,"-")</f>
        <v>-0.14756307179852468</v>
      </c>
      <c r="I29" s="325">
        <f>IFERROR('tablas pernocta cat ev anual'!I29/'tablas pernocta cat ev anual'!I42-1,"-")</f>
        <v>-0.13640786486320644</v>
      </c>
      <c r="J29" s="325">
        <f>IFERROR('tablas pernocta cat ev anual'!J29/'tablas pernocta cat ev anual'!J42-1,"-")</f>
        <v>-0.14317681089085155</v>
      </c>
    </row>
    <row r="30" spans="3:10" collapsed="1">
      <c r="C30" s="164">
        <v>2009</v>
      </c>
      <c r="D30" s="327">
        <f>IFERROR('tablas pernocta cat ev anual'!D30/'tablas pernocta cat ev anual'!D43-1,"-")</f>
        <v>-0.31907315627705379</v>
      </c>
      <c r="E30" s="327">
        <f>IFERROR('tablas pernocta cat ev anual'!E30/'tablas pernocta cat ev anual'!E43-1,"-")</f>
        <v>-0.28820093381869327</v>
      </c>
      <c r="F30" s="327">
        <f>IFERROR('tablas pernocta cat ev anual'!F30/'tablas pernocta cat ev anual'!F43-1,"-")</f>
        <v>-0.10681445072561779</v>
      </c>
      <c r="G30" s="327">
        <f>IFERROR('tablas pernocta cat ev anual'!G30/'tablas pernocta cat ev anual'!G43-1,"-")</f>
        <v>-0.21954726115301781</v>
      </c>
      <c r="H30" s="327">
        <f>IFERROR('tablas pernocta cat ev anual'!H30/'tablas pernocta cat ev anual'!H43-1,"-")</f>
        <v>-0.16492856046213566</v>
      </c>
      <c r="I30" s="327">
        <f>IFERROR('tablas pernocta cat ev anual'!I30/'tablas pernocta cat ev anual'!I43-1,"-")</f>
        <v>-0.15924688631074813</v>
      </c>
      <c r="J30" s="327">
        <f>IFERROR('tablas pernocta cat ev anual'!J30/'tablas pernocta cat ev anual'!J43-1,"-")</f>
        <v>-0.16276246416833373</v>
      </c>
    </row>
    <row r="31" spans="3:10" hidden="1" outlineLevel="1">
      <c r="C31" s="51" t="s">
        <v>37</v>
      </c>
      <c r="D31" s="325">
        <f>IFERROR('tablas pernocta cat ev anual'!D31/'tablas pernocta cat ev anual'!D44-1,"-")</f>
        <v>-3.2753515914137665E-2</v>
      </c>
      <c r="E31" s="325">
        <f>IFERROR('tablas pernocta cat ev anual'!E31/'tablas pernocta cat ev anual'!E44-1,"-")</f>
        <v>-9.7310757512464208E-2</v>
      </c>
      <c r="F31" s="325">
        <f>IFERROR('tablas pernocta cat ev anual'!F31/'tablas pernocta cat ev anual'!F44-1,"-")</f>
        <v>-6.4745083059042918E-2</v>
      </c>
      <c r="G31" s="325">
        <f>IFERROR('tablas pernocta cat ev anual'!G31/'tablas pernocta cat ev anual'!G44-1,"-")</f>
        <v>-0.22054737677708014</v>
      </c>
      <c r="H31" s="325">
        <f>IFERROR('tablas pernocta cat ev anual'!H31/'tablas pernocta cat ev anual'!H44-1,"-")</f>
        <v>-9.2610189582164937E-2</v>
      </c>
      <c r="I31" s="325">
        <f>IFERROR('tablas pernocta cat ev anual'!I31/'tablas pernocta cat ev anual'!I44-1,"-")</f>
        <v>-0.10530141723241249</v>
      </c>
      <c r="J31" s="325">
        <f>IFERROR('tablas pernocta cat ev anual'!J31/'tablas pernocta cat ev anual'!J44-1,"-")</f>
        <v>-9.7680844634016717E-2</v>
      </c>
    </row>
    <row r="32" spans="3:10" hidden="1" outlineLevel="1">
      <c r="C32" s="51" t="s">
        <v>38</v>
      </c>
      <c r="D32" s="325">
        <f>IFERROR('tablas pernocta cat ev anual'!D32/'tablas pernocta cat ev anual'!D45-1,"-")</f>
        <v>-0.15783718104495748</v>
      </c>
      <c r="E32" s="325">
        <f>IFERROR('tablas pernocta cat ev anual'!E32/'tablas pernocta cat ev anual'!E45-1,"-")</f>
        <v>-9.0471148755955522E-2</v>
      </c>
      <c r="F32" s="325">
        <f>IFERROR('tablas pernocta cat ev anual'!F32/'tablas pernocta cat ev anual'!F45-1,"-")</f>
        <v>-4.6079182240625571E-2</v>
      </c>
      <c r="G32" s="325">
        <f>IFERROR('tablas pernocta cat ev anual'!G32/'tablas pernocta cat ev anual'!G45-1,"-")</f>
        <v>-0.16643356643356644</v>
      </c>
      <c r="H32" s="325">
        <f>IFERROR('tablas pernocta cat ev anual'!H32/'tablas pernocta cat ev anual'!H45-1,"-")</f>
        <v>-7.4374010431080828E-2</v>
      </c>
      <c r="I32" s="325">
        <f>IFERROR('tablas pernocta cat ev anual'!I32/'tablas pernocta cat ev anual'!I45-1,"-")</f>
        <v>-0.11972127365020768</v>
      </c>
      <c r="J32" s="325">
        <f>IFERROR('tablas pernocta cat ev anual'!J32/'tablas pernocta cat ev anual'!J45-1,"-")</f>
        <v>-9.2129046432750328E-2</v>
      </c>
    </row>
    <row r="33" spans="3:10" hidden="1" outlineLevel="1">
      <c r="C33" s="51" t="s">
        <v>39</v>
      </c>
      <c r="D33" s="325">
        <f>IFERROR('tablas pernocta cat ev anual'!D33/'tablas pernocta cat ev anual'!D46-1,"-")</f>
        <v>-8.4725232691572061E-2</v>
      </c>
      <c r="E33" s="325">
        <f>IFERROR('tablas pernocta cat ev anual'!E33/'tablas pernocta cat ev anual'!E46-1,"-")</f>
        <v>7.4991198216172172E-3</v>
      </c>
      <c r="F33" s="325">
        <f>IFERROR('tablas pernocta cat ev anual'!F33/'tablas pernocta cat ev anual'!F46-1,"-")</f>
        <v>-6.7714184301140623E-2</v>
      </c>
      <c r="G33" s="325">
        <f>IFERROR('tablas pernocta cat ev anual'!G33/'tablas pernocta cat ev anual'!G46-1,"-")</f>
        <v>-5.023779991950128E-2</v>
      </c>
      <c r="H33" s="325">
        <f>IFERROR('tablas pernocta cat ev anual'!H33/'tablas pernocta cat ev anual'!H46-1,"-")</f>
        <v>-5.0534345963116012E-2</v>
      </c>
      <c r="I33" s="325">
        <f>IFERROR('tablas pernocta cat ev anual'!I33/'tablas pernocta cat ev anual'!I46-1,"-")</f>
        <v>-8.6315227022424557E-2</v>
      </c>
      <c r="J33" s="325">
        <f>IFERROR('tablas pernocta cat ev anual'!J33/'tablas pernocta cat ev anual'!J46-1,"-")</f>
        <v>-6.4076357689890395E-2</v>
      </c>
    </row>
    <row r="34" spans="3:10" hidden="1" outlineLevel="1">
      <c r="C34" s="51" t="s">
        <v>40</v>
      </c>
      <c r="D34" s="325">
        <f>IFERROR('tablas pernocta cat ev anual'!D34/'tablas pernocta cat ev anual'!D47-1,"-")</f>
        <v>-0.13858910239536715</v>
      </c>
      <c r="E34" s="325">
        <f>IFERROR('tablas pernocta cat ev anual'!E34/'tablas pernocta cat ev anual'!E47-1,"-")</f>
        <v>-0.18995898297098601</v>
      </c>
      <c r="F34" s="325">
        <f>IFERROR('tablas pernocta cat ev anual'!F34/'tablas pernocta cat ev anual'!F47-1,"-")</f>
        <v>-5.1528256538376782E-3</v>
      </c>
      <c r="G34" s="325">
        <f>IFERROR('tablas pernocta cat ev anual'!G34/'tablas pernocta cat ev anual'!G47-1,"-")</f>
        <v>-1.2920563450466771E-2</v>
      </c>
      <c r="H34" s="325">
        <f>IFERROR('tablas pernocta cat ev anual'!H34/'tablas pernocta cat ev anual'!H47-1,"-")</f>
        <v>-4.7069527389957067E-2</v>
      </c>
      <c r="I34" s="325">
        <f>IFERROR('tablas pernocta cat ev anual'!I34/'tablas pernocta cat ev anual'!I47-1,"-")</f>
        <v>-3.0091160102884262E-2</v>
      </c>
      <c r="J34" s="325">
        <f>IFERROR('tablas pernocta cat ev anual'!J34/'tablas pernocta cat ev anual'!J47-1,"-")</f>
        <v>-4.1001741144490844E-2</v>
      </c>
    </row>
    <row r="35" spans="3:10" ht="15" hidden="1" customHeight="1" outlineLevel="1">
      <c r="C35" s="51" t="s">
        <v>41</v>
      </c>
      <c r="D35" s="325">
        <f>IFERROR('tablas pernocta cat ev anual'!D35/'tablas pernocta cat ev anual'!D48-1,"-")</f>
        <v>0.35402278231231499</v>
      </c>
      <c r="E35" s="325">
        <f>IFERROR('tablas pernocta cat ev anual'!E35/'tablas pernocta cat ev anual'!E48-1,"-")</f>
        <v>-0.15188055138240952</v>
      </c>
      <c r="F35" s="325">
        <f>IFERROR('tablas pernocta cat ev anual'!F35/'tablas pernocta cat ev anual'!F48-1,"-")</f>
        <v>9.1075885285336611E-3</v>
      </c>
      <c r="G35" s="325">
        <f>IFERROR('tablas pernocta cat ev anual'!G35/'tablas pernocta cat ev anual'!G48-1,"-")</f>
        <v>-3.8052187223457934E-2</v>
      </c>
      <c r="H35" s="325">
        <f>IFERROR('tablas pernocta cat ev anual'!H35/'tablas pernocta cat ev anual'!H48-1,"-")</f>
        <v>-3.0221030391678894E-2</v>
      </c>
      <c r="I35" s="325">
        <f>IFERROR('tablas pernocta cat ev anual'!I35/'tablas pernocta cat ev anual'!I48-1,"-")</f>
        <v>-1.2807841009916165E-2</v>
      </c>
      <c r="J35" s="325">
        <f>IFERROR('tablas pernocta cat ev anual'!J35/'tablas pernocta cat ev anual'!J48-1,"-")</f>
        <v>-2.3279694132551931E-2</v>
      </c>
    </row>
    <row r="36" spans="3:10" ht="15" hidden="1" customHeight="1" outlineLevel="1">
      <c r="C36" s="51" t="s">
        <v>42</v>
      </c>
      <c r="D36" s="325">
        <f>IFERROR('tablas pernocta cat ev anual'!D36/'tablas pernocta cat ev anual'!D49-1,"-")</f>
        <v>0.24122412241224112</v>
      </c>
      <c r="E36" s="325">
        <f>IFERROR('tablas pernocta cat ev anual'!E36/'tablas pernocta cat ev anual'!E49-1,"-")</f>
        <v>-6.1327915822480872E-2</v>
      </c>
      <c r="F36" s="325">
        <f>IFERROR('tablas pernocta cat ev anual'!F36/'tablas pernocta cat ev anual'!F49-1,"-")</f>
        <v>5.3304603960230068E-2</v>
      </c>
      <c r="G36" s="325">
        <f>IFERROR('tablas pernocta cat ev anual'!G36/'tablas pernocta cat ev anual'!G49-1,"-")</f>
        <v>0.22696476296610424</v>
      </c>
      <c r="H36" s="325">
        <f>IFERROR('tablas pernocta cat ev anual'!H36/'tablas pernocta cat ev anual'!H49-1,"-")</f>
        <v>5.2105371910107223E-2</v>
      </c>
      <c r="I36" s="325">
        <f>IFERROR('tablas pernocta cat ev anual'!I36/'tablas pernocta cat ev anual'!I49-1,"-")</f>
        <v>6.9354291595039363E-2</v>
      </c>
      <c r="J36" s="325">
        <f>IFERROR('tablas pernocta cat ev anual'!J36/'tablas pernocta cat ev anual'!J49-1,"-")</f>
        <v>5.8478364463779631E-2</v>
      </c>
    </row>
    <row r="37" spans="3:10" ht="15" hidden="1" customHeight="1" outlineLevel="1">
      <c r="C37" s="51" t="s">
        <v>43</v>
      </c>
      <c r="D37" s="325">
        <f>IFERROR('tablas pernocta cat ev anual'!D37/'tablas pernocta cat ev anual'!D50-1,"-")</f>
        <v>0.54219333092572519</v>
      </c>
      <c r="E37" s="325">
        <f>IFERROR('tablas pernocta cat ev anual'!E37/'tablas pernocta cat ev anual'!E50-1,"-")</f>
        <v>0.10230579497270176</v>
      </c>
      <c r="F37" s="325">
        <f>IFERROR('tablas pernocta cat ev anual'!F37/'tablas pernocta cat ev anual'!F50-1,"-")</f>
        <v>5.0481008710567377E-2</v>
      </c>
      <c r="G37" s="325">
        <f>IFERROR('tablas pernocta cat ev anual'!G37/'tablas pernocta cat ev anual'!G50-1,"-")</f>
        <v>0.32251968873604775</v>
      </c>
      <c r="H37" s="325">
        <f>IFERROR('tablas pernocta cat ev anual'!H37/'tablas pernocta cat ev anual'!H50-1,"-")</f>
        <v>0.10014322920389152</v>
      </c>
      <c r="I37" s="325">
        <f>IFERROR('tablas pernocta cat ev anual'!I37/'tablas pernocta cat ev anual'!I50-1,"-")</f>
        <v>0.121912286602047</v>
      </c>
      <c r="J37" s="325">
        <f>IFERROR('tablas pernocta cat ev anual'!J37/'tablas pernocta cat ev anual'!J50-1,"-")</f>
        <v>0.10804253505426176</v>
      </c>
    </row>
    <row r="38" spans="3:10" hidden="1" outlineLevel="1">
      <c r="C38" s="51" t="s">
        <v>44</v>
      </c>
      <c r="D38" s="325">
        <f>IFERROR('tablas pernocta cat ev anual'!D38/'tablas pernocta cat ev anual'!D51-1,"-")</f>
        <v>0.57855126999059259</v>
      </c>
      <c r="E38" s="325">
        <f>IFERROR('tablas pernocta cat ev anual'!E38/'tablas pernocta cat ev anual'!E51-1,"-")</f>
        <v>0.50242625905514537</v>
      </c>
      <c r="F38" s="325">
        <f>IFERROR('tablas pernocta cat ev anual'!F38/'tablas pernocta cat ev anual'!F51-1,"-")</f>
        <v>8.4960624119004846E-2</v>
      </c>
      <c r="G38" s="325">
        <f>IFERROR('tablas pernocta cat ev anual'!G38/'tablas pernocta cat ev anual'!G51-1,"-")</f>
        <v>0.39806046257512295</v>
      </c>
      <c r="H38" s="325">
        <f>IFERROR('tablas pernocta cat ev anual'!H38/'tablas pernocta cat ev anual'!H51-1,"-")</f>
        <v>0.21126629172444433</v>
      </c>
      <c r="I38" s="325">
        <f>IFERROR('tablas pernocta cat ev anual'!I38/'tablas pernocta cat ev anual'!I51-1,"-")</f>
        <v>0.1633759662156542</v>
      </c>
      <c r="J38" s="325">
        <f>IFERROR('tablas pernocta cat ev anual'!J38/'tablas pernocta cat ev anual'!J51-1,"-")</f>
        <v>0.19350856074096923</v>
      </c>
    </row>
    <row r="39" spans="3:10" ht="30" hidden="1" customHeight="1" outlineLevel="1">
      <c r="C39" s="51" t="s">
        <v>45</v>
      </c>
      <c r="D39" s="325">
        <f>IFERROR('tablas pernocta cat ev anual'!D39/'tablas pernocta cat ev anual'!D52-1,"-")</f>
        <v>0.58279492701603264</v>
      </c>
      <c r="E39" s="325">
        <f>IFERROR('tablas pernocta cat ev anual'!E39/'tablas pernocta cat ev anual'!E52-1,"-")</f>
        <v>0.19713985516820487</v>
      </c>
      <c r="F39" s="325">
        <f>IFERROR('tablas pernocta cat ev anual'!F39/'tablas pernocta cat ev anual'!F52-1,"-")</f>
        <v>1.1465459475463957E-2</v>
      </c>
      <c r="G39" s="325">
        <f>IFERROR('tablas pernocta cat ev anual'!G39/'tablas pernocta cat ev anual'!G52-1,"-")</f>
        <v>8.766386494954248E-2</v>
      </c>
      <c r="H39" s="325">
        <f>IFERROR('tablas pernocta cat ev anual'!H39/'tablas pernocta cat ev anual'!H52-1,"-")</f>
        <v>6.5505497026488113E-2</v>
      </c>
      <c r="I39" s="325">
        <f>IFERROR('tablas pernocta cat ev anual'!I39/'tablas pernocta cat ev anual'!I52-1,"-")</f>
        <v>-6.2834781987190391E-2</v>
      </c>
      <c r="J39" s="325">
        <f>IFERROR('tablas pernocta cat ev anual'!J39/'tablas pernocta cat ev anual'!J52-1,"-")</f>
        <v>1.5665862775091188E-2</v>
      </c>
    </row>
    <row r="40" spans="3:10" hidden="1" outlineLevel="1">
      <c r="C40" s="51" t="s">
        <v>46</v>
      </c>
      <c r="D40" s="325">
        <f>IFERROR('tablas pernocta cat ev anual'!D40/'tablas pernocta cat ev anual'!D53-1,"-")</f>
        <v>-7.2066135505900686E-2</v>
      </c>
      <c r="E40" s="325">
        <f>IFERROR('tablas pernocta cat ev anual'!E40/'tablas pernocta cat ev anual'!E53-1,"-")</f>
        <v>0.11079425602247173</v>
      </c>
      <c r="F40" s="325">
        <f>IFERROR('tablas pernocta cat ev anual'!F40/'tablas pernocta cat ev anual'!F53-1,"-")</f>
        <v>0.1102148566400234</v>
      </c>
      <c r="G40" s="325">
        <f>IFERROR('tablas pernocta cat ev anual'!G40/'tablas pernocta cat ev anual'!G53-1,"-")</f>
        <v>0.17662425136074855</v>
      </c>
      <c r="H40" s="325">
        <f>IFERROR('tablas pernocta cat ev anual'!H40/'tablas pernocta cat ev anual'!H53-1,"-")</f>
        <v>0.11554463974779594</v>
      </c>
      <c r="I40" s="325">
        <f>IFERROR('tablas pernocta cat ev anual'!I40/'tablas pernocta cat ev anual'!I53-1,"-")</f>
        <v>-3.3555927657956675E-3</v>
      </c>
      <c r="J40" s="325">
        <f>IFERROR('tablas pernocta cat ev anual'!J40/'tablas pernocta cat ev anual'!J53-1,"-")</f>
        <v>6.5267447166076353E-2</v>
      </c>
    </row>
    <row r="41" spans="3:10" ht="30" hidden="1" customHeight="1" outlineLevel="1">
      <c r="C41" s="51" t="s">
        <v>47</v>
      </c>
      <c r="D41" s="325">
        <f>IFERROR('tablas pernocta cat ev anual'!D41/'tablas pernocta cat ev anual'!D54-1,"-")</f>
        <v>-6.9975490196078405E-2</v>
      </c>
      <c r="E41" s="325">
        <f>IFERROR('tablas pernocta cat ev anual'!E41/'tablas pernocta cat ev anual'!E54-1,"-")</f>
        <v>0.18603404056889716</v>
      </c>
      <c r="F41" s="325">
        <f>IFERROR('tablas pernocta cat ev anual'!F41/'tablas pernocta cat ev anual'!F54-1,"-")</f>
        <v>0.1066719634609965</v>
      </c>
      <c r="G41" s="325">
        <f>IFERROR('tablas pernocta cat ev anual'!G41/'tablas pernocta cat ev anual'!G54-1,"-")</f>
        <v>7.8848759519693612E-2</v>
      </c>
      <c r="H41" s="325">
        <f>IFERROR('tablas pernocta cat ev anual'!H41/'tablas pernocta cat ev anual'!H54-1,"-")</f>
        <v>0.11707459066751436</v>
      </c>
      <c r="I41" s="325">
        <f>IFERROR('tablas pernocta cat ev anual'!I41/'tablas pernocta cat ev anual'!I54-1,"-")</f>
        <v>3.7331209406103572E-2</v>
      </c>
      <c r="J41" s="325">
        <f>IFERROR('tablas pernocta cat ev anual'!J41/'tablas pernocta cat ev anual'!J54-1,"-")</f>
        <v>8.3445489163613606E-2</v>
      </c>
    </row>
    <row r="42" spans="3:10" hidden="1" outlineLevel="1">
      <c r="C42" s="51" t="s">
        <v>48</v>
      </c>
      <c r="D42" s="325">
        <f>IFERROR('tablas pernocta cat ev anual'!D42/'tablas pernocta cat ev anual'!D55-1,"-")</f>
        <v>-3.6959511990909633E-2</v>
      </c>
      <c r="E42" s="325">
        <f>IFERROR('tablas pernocta cat ev anual'!E42/'tablas pernocta cat ev anual'!E55-1,"-")</f>
        <v>0.14648788613461305</v>
      </c>
      <c r="F42" s="325">
        <f>IFERROR('tablas pernocta cat ev anual'!F42/'tablas pernocta cat ev anual'!F55-1,"-")</f>
        <v>4.7692904226444455E-2</v>
      </c>
      <c r="G42" s="325">
        <f>IFERROR('tablas pernocta cat ev anual'!G42/'tablas pernocta cat ev anual'!G55-1,"-")</f>
        <v>-3.1020943568471626E-3</v>
      </c>
      <c r="H42" s="325">
        <f>IFERROR('tablas pernocta cat ev anual'!H42/'tablas pernocta cat ev anual'!H55-1,"-")</f>
        <v>6.0736829166596396E-2</v>
      </c>
      <c r="I42" s="325">
        <f>IFERROR('tablas pernocta cat ev anual'!I42/'tablas pernocta cat ev anual'!I55-1,"-")</f>
        <v>-7.5099921524409696E-3</v>
      </c>
      <c r="J42" s="325">
        <f>IFERROR('tablas pernocta cat ev anual'!J42/'tablas pernocta cat ev anual'!J55-1,"-")</f>
        <v>3.2811757979732681E-2</v>
      </c>
    </row>
    <row r="43" spans="3:10" collapsed="1">
      <c r="C43" s="165">
        <v>2008</v>
      </c>
      <c r="D43" s="328">
        <f>IFERROR('tablas pernocta cat ev anual'!D43/'tablas pernocta cat ev anual'!D56-1,"-")</f>
        <v>7.0901465939918973E-2</v>
      </c>
      <c r="E43" s="328">
        <f>IFERROR('tablas pernocta cat ev anual'!E43/'tablas pernocta cat ev anual'!E56-1,"-")</f>
        <v>3.4905674001261211E-2</v>
      </c>
      <c r="F43" s="328">
        <f>IFERROR('tablas pernocta cat ev anual'!F43/'tablas pernocta cat ev anual'!F56-1,"-")</f>
        <v>2.1781743505799644E-2</v>
      </c>
      <c r="G43" s="328">
        <f>IFERROR('tablas pernocta cat ev anual'!G43/'tablas pernocta cat ev anual'!G56-1,"-")</f>
        <v>5.171695077418148E-2</v>
      </c>
      <c r="H43" s="328">
        <f>IFERROR('tablas pernocta cat ev anual'!H43/'tablas pernocta cat ev anual'!H56-1,"-")</f>
        <v>2.9414079821702632E-2</v>
      </c>
      <c r="I43" s="328">
        <f>IFERROR('tablas pernocta cat ev anual'!I43/'tablas pernocta cat ev anual'!I56-1,"-")</f>
        <v>-9.7703952295532526E-3</v>
      </c>
      <c r="J43" s="328">
        <f>IFERROR('tablas pernocta cat ev anual'!J43/'tablas pernocta cat ev anual'!J56-1,"-")</f>
        <v>1.411494936624913E-2</v>
      </c>
    </row>
    <row r="44" spans="3:10" hidden="1" outlineLevel="1">
      <c r="C44" s="51" t="s">
        <v>37</v>
      </c>
      <c r="D44" s="325">
        <f>IFERROR('tablas pernocta cat ev anual'!D44/'tablas pernocta cat ev anual'!D57-1,"-")</f>
        <v>5.9469350411710975E-2</v>
      </c>
      <c r="E44" s="325">
        <f>IFERROR('tablas pernocta cat ev anual'!E44/'tablas pernocta cat ev anual'!E57-1,"-")</f>
        <v>9.3747033133960045E-2</v>
      </c>
      <c r="F44" s="325">
        <f>IFERROR('tablas pernocta cat ev anual'!F44/'tablas pernocta cat ev anual'!F57-1,"-")</f>
        <v>3.8752533953954948E-2</v>
      </c>
      <c r="G44" s="325">
        <f>IFERROR('tablas pernocta cat ev anual'!G44/'tablas pernocta cat ev anual'!G57-1,"-")</f>
        <v>-7.3959993553124326E-3</v>
      </c>
      <c r="H44" s="325">
        <f>IFERROR('tablas pernocta cat ev anual'!H44/'tablas pernocta cat ev anual'!H57-1,"-")</f>
        <v>4.4419661698465118E-2</v>
      </c>
      <c r="I44" s="325">
        <f>IFERROR('tablas pernocta cat ev anual'!I44/'tablas pernocta cat ev anual'!I57-1,"-")</f>
        <v>2.6476905436115139E-2</v>
      </c>
      <c r="J44" s="325">
        <f>IFERROR('tablas pernocta cat ev anual'!J44/'tablas pernocta cat ev anual'!J57-1,"-")</f>
        <v>3.7176087664429813E-2</v>
      </c>
    </row>
    <row r="45" spans="3:10" hidden="1" outlineLevel="1">
      <c r="C45" s="51" t="s">
        <v>38</v>
      </c>
      <c r="D45" s="325">
        <f>IFERROR('tablas pernocta cat ev anual'!D45/'tablas pernocta cat ev anual'!D58-1,"-")</f>
        <v>0.11805461214508894</v>
      </c>
      <c r="E45" s="325">
        <f>IFERROR('tablas pernocta cat ev anual'!E45/'tablas pernocta cat ev anual'!E58-1,"-")</f>
        <v>0.13952380090606931</v>
      </c>
      <c r="F45" s="325">
        <f>IFERROR('tablas pernocta cat ev anual'!F45/'tablas pernocta cat ev anual'!F58-1,"-")</f>
        <v>5.3091328912408198E-2</v>
      </c>
      <c r="G45" s="325">
        <f>IFERROR('tablas pernocta cat ev anual'!G45/'tablas pernocta cat ev anual'!G58-1,"-")</f>
        <v>-9.4160191800373605E-2</v>
      </c>
      <c r="H45" s="325">
        <f>IFERROR('tablas pernocta cat ev anual'!H45/'tablas pernocta cat ev anual'!H58-1,"-")</f>
        <v>4.9253041238205508E-2</v>
      </c>
      <c r="I45" s="325">
        <f>IFERROR('tablas pernocta cat ev anual'!I45/'tablas pernocta cat ev anual'!I58-1,"-")</f>
        <v>3.7348370975308631E-2</v>
      </c>
      <c r="J45" s="325">
        <f>IFERROR('tablas pernocta cat ev anual'!J45/'tablas pernocta cat ev anual'!J58-1,"-")</f>
        <v>4.4559545594549999E-2</v>
      </c>
    </row>
    <row r="46" spans="3:10" hidden="1" outlineLevel="1">
      <c r="C46" s="51" t="s">
        <v>39</v>
      </c>
      <c r="D46" s="325">
        <f>IFERROR('tablas pernocta cat ev anual'!D46/'tablas pernocta cat ev anual'!D59-1,"-")</f>
        <v>7.0789815004437262E-2</v>
      </c>
      <c r="E46" s="325">
        <f>IFERROR('tablas pernocta cat ev anual'!E46/'tablas pernocta cat ev anual'!E59-1,"-")</f>
        <v>-1.2309903560830837E-2</v>
      </c>
      <c r="F46" s="325">
        <f>IFERROR('tablas pernocta cat ev anual'!F46/'tablas pernocta cat ev anual'!F59-1,"-")</f>
        <v>-4.9229206313863183E-2</v>
      </c>
      <c r="G46" s="325">
        <f>IFERROR('tablas pernocta cat ev anual'!G46/'tablas pernocta cat ev anual'!G59-1,"-")</f>
        <v>0.10868159589097237</v>
      </c>
      <c r="H46" s="325">
        <f>IFERROR('tablas pernocta cat ev anual'!H46/'tablas pernocta cat ev anual'!H59-1,"-")</f>
        <v>-2.0018076255187145E-2</v>
      </c>
      <c r="I46" s="325">
        <f>IFERROR('tablas pernocta cat ev anual'!I46/'tablas pernocta cat ev anual'!I59-1,"-")</f>
        <v>-2.7730332375289213E-2</v>
      </c>
      <c r="J46" s="325">
        <f>IFERROR('tablas pernocta cat ev anual'!J46/'tablas pernocta cat ev anual'!J59-1,"-")</f>
        <v>-2.2951285732561888E-2</v>
      </c>
    </row>
    <row r="47" spans="3:10" hidden="1" outlineLevel="1">
      <c r="C47" s="51" t="s">
        <v>40</v>
      </c>
      <c r="D47" s="325">
        <f>IFERROR('tablas pernocta cat ev anual'!D47/'tablas pernocta cat ev anual'!D60-1,"-")</f>
        <v>0.39630616557934384</v>
      </c>
      <c r="E47" s="325">
        <f>IFERROR('tablas pernocta cat ev anual'!E47/'tablas pernocta cat ev anual'!E60-1,"-")</f>
        <v>6.8764929950287268E-2</v>
      </c>
      <c r="F47" s="325">
        <f>IFERROR('tablas pernocta cat ev anual'!F47/'tablas pernocta cat ev anual'!F60-1,"-")</f>
        <v>-5.1677019564915883E-2</v>
      </c>
      <c r="G47" s="325">
        <f>IFERROR('tablas pernocta cat ev anual'!G47/'tablas pernocta cat ev anual'!G60-1,"-")</f>
        <v>-6.4513980803969084E-2</v>
      </c>
      <c r="H47" s="325">
        <f>IFERROR('tablas pernocta cat ev anual'!H47/'tablas pernocta cat ev anual'!H60-1,"-")</f>
        <v>-2.4842325190869485E-2</v>
      </c>
      <c r="I47" s="325">
        <f>IFERROR('tablas pernocta cat ev anual'!I47/'tablas pernocta cat ev anual'!I60-1,"-")</f>
        <v>-0.10689709228011224</v>
      </c>
      <c r="J47" s="325">
        <f>IFERROR('tablas pernocta cat ev anual'!J47/'tablas pernocta cat ev anual'!J60-1,"-")</f>
        <v>-5.5843672644990794E-2</v>
      </c>
    </row>
    <row r="48" spans="3:10" hidden="1" outlineLevel="1">
      <c r="C48" s="51" t="s">
        <v>41</v>
      </c>
      <c r="D48" s="325">
        <f>IFERROR('tablas pernocta cat ev anual'!D48/'tablas pernocta cat ev anual'!D61-1,"-")</f>
        <v>-0.22961580983969043</v>
      </c>
      <c r="E48" s="325">
        <f>IFERROR('tablas pernocta cat ev anual'!E48/'tablas pernocta cat ev anual'!E61-1,"-")</f>
        <v>-3.9808675406185157E-2</v>
      </c>
      <c r="F48" s="325">
        <f>IFERROR('tablas pernocta cat ev anual'!F48/'tablas pernocta cat ev anual'!F61-1,"-")</f>
        <v>-2.1017475630082383E-2</v>
      </c>
      <c r="G48" s="325">
        <f>IFERROR('tablas pernocta cat ev anual'!G48/'tablas pernocta cat ev anual'!G61-1,"-")</f>
        <v>-6.884571700060127E-2</v>
      </c>
      <c r="H48" s="325">
        <f>IFERROR('tablas pernocta cat ev anual'!H48/'tablas pernocta cat ev anual'!H61-1,"-")</f>
        <v>-3.4663586417749581E-2</v>
      </c>
      <c r="I48" s="325">
        <f>IFERROR('tablas pernocta cat ev anual'!I48/'tablas pernocta cat ev anual'!I61-1,"-")</f>
        <v>-8.7642746093706259E-2</v>
      </c>
      <c r="J48" s="325">
        <f>IFERROR('tablas pernocta cat ev anual'!J48/'tablas pernocta cat ev anual'!J61-1,"-")</f>
        <v>-5.6503218570596148E-2</v>
      </c>
    </row>
    <row r="49" spans="3:10" hidden="1" outlineLevel="1">
      <c r="C49" s="51" t="s">
        <v>42</v>
      </c>
      <c r="D49" s="325">
        <f>IFERROR('tablas pernocta cat ev anual'!D49/'tablas pernocta cat ev anual'!D62-1,"-")</f>
        <v>-0.17268597810708164</v>
      </c>
      <c r="E49" s="325">
        <f>IFERROR('tablas pernocta cat ev anual'!E49/'tablas pernocta cat ev anual'!E62-1,"-")</f>
        <v>-9.5511536982758161E-2</v>
      </c>
      <c r="F49" s="325">
        <f>IFERROR('tablas pernocta cat ev anual'!F49/'tablas pernocta cat ev anual'!F62-1,"-")</f>
        <v>6.5689725249984399E-3</v>
      </c>
      <c r="G49" s="325">
        <f>IFERROR('tablas pernocta cat ev anual'!G49/'tablas pernocta cat ev anual'!G62-1,"-")</f>
        <v>-0.11183616982140199</v>
      </c>
      <c r="H49" s="325">
        <f>IFERROR('tablas pernocta cat ev anual'!H49/'tablas pernocta cat ev anual'!H62-1,"-")</f>
        <v>-3.2927745752624915E-2</v>
      </c>
      <c r="I49" s="325">
        <f>IFERROR('tablas pernocta cat ev anual'!I49/'tablas pernocta cat ev anual'!I62-1,"-")</f>
        <v>-0.13950500829493695</v>
      </c>
      <c r="J49" s="325">
        <f>IFERROR('tablas pernocta cat ev anual'!J49/'tablas pernocta cat ev anual'!J62-1,"-")</f>
        <v>-7.5245645947676687E-2</v>
      </c>
    </row>
    <row r="50" spans="3:10" hidden="1" outlineLevel="1">
      <c r="C50" s="51" t="s">
        <v>43</v>
      </c>
      <c r="D50" s="325">
        <f>IFERROR('tablas pernocta cat ev anual'!D50/'tablas pernocta cat ev anual'!D63-1,"-")</f>
        <v>-0.26454183266932274</v>
      </c>
      <c r="E50" s="325">
        <f>IFERROR('tablas pernocta cat ev anual'!E50/'tablas pernocta cat ev anual'!E63-1,"-")</f>
        <v>-0.10313801031504377</v>
      </c>
      <c r="F50" s="325">
        <f>IFERROR('tablas pernocta cat ev anual'!F50/'tablas pernocta cat ev anual'!F63-1,"-")</f>
        <v>-5.3249075266347923E-2</v>
      </c>
      <c r="G50" s="325">
        <f>IFERROR('tablas pernocta cat ev anual'!G50/'tablas pernocta cat ev anual'!G63-1,"-")</f>
        <v>-8.0260373936698493E-2</v>
      </c>
      <c r="H50" s="325">
        <f>IFERROR('tablas pernocta cat ev anual'!H50/'tablas pernocta cat ev anual'!H63-1,"-")</f>
        <v>-7.0413477036657124E-2</v>
      </c>
      <c r="I50" s="325">
        <f>IFERROR('tablas pernocta cat ev anual'!I50/'tablas pernocta cat ev anual'!I63-1,"-")</f>
        <v>-0.11151497852565107</v>
      </c>
      <c r="J50" s="325">
        <f>IFERROR('tablas pernocta cat ev anual'!J50/'tablas pernocta cat ev anual'!J63-1,"-")</f>
        <v>-8.5760246991909317E-2</v>
      </c>
    </row>
    <row r="51" spans="3:10" hidden="1" outlineLevel="1">
      <c r="C51" s="51" t="s">
        <v>44</v>
      </c>
      <c r="D51" s="325">
        <f>IFERROR('tablas pernocta cat ev anual'!D51/'tablas pernocta cat ev anual'!D64-1,"-")</f>
        <v>-0.23151997108259537</v>
      </c>
      <c r="E51" s="325">
        <f>IFERROR('tablas pernocta cat ev anual'!E51/'tablas pernocta cat ev anual'!E64-1,"-")</f>
        <v>-0.2379656898350524</v>
      </c>
      <c r="F51" s="325">
        <f>IFERROR('tablas pernocta cat ev anual'!F51/'tablas pernocta cat ev anual'!F64-1,"-")</f>
        <v>-7.8826244613390273E-2</v>
      </c>
      <c r="G51" s="325">
        <f>IFERROR('tablas pernocta cat ev anual'!G51/'tablas pernocta cat ev anual'!G64-1,"-")</f>
        <v>-5.8712608211193951E-2</v>
      </c>
      <c r="H51" s="325">
        <f>IFERROR('tablas pernocta cat ev anual'!H51/'tablas pernocta cat ev anual'!H64-1,"-")</f>
        <v>-0.11238653141192256</v>
      </c>
      <c r="I51" s="325">
        <f>IFERROR('tablas pernocta cat ev anual'!I51/'tablas pernocta cat ev anual'!I64-1,"-")</f>
        <v>-0.10705079060852896</v>
      </c>
      <c r="J51" s="325">
        <f>IFERROR('tablas pernocta cat ev anual'!J51/'tablas pernocta cat ev anual'!J64-1,"-")</f>
        <v>-0.11041549402972928</v>
      </c>
    </row>
    <row r="52" spans="3:10" hidden="1" outlineLevel="1">
      <c r="C52" s="51" t="s">
        <v>45</v>
      </c>
      <c r="D52" s="325">
        <f>IFERROR('tablas pernocta cat ev anual'!D52/'tablas pernocta cat ev anual'!D65-1,"-")</f>
        <v>-0.36547221378682049</v>
      </c>
      <c r="E52" s="325">
        <f>IFERROR('tablas pernocta cat ev anual'!E52/'tablas pernocta cat ev anual'!E65-1,"-")</f>
        <v>-0.15015559333996342</v>
      </c>
      <c r="F52" s="325">
        <f>IFERROR('tablas pernocta cat ev anual'!F52/'tablas pernocta cat ev anual'!F65-1,"-")</f>
        <v>-5.0601964011613876E-2</v>
      </c>
      <c r="G52" s="325">
        <f>IFERROR('tablas pernocta cat ev anual'!G52/'tablas pernocta cat ev anual'!G65-1,"-")</f>
        <v>1.4295874181903256E-2</v>
      </c>
      <c r="H52" s="325">
        <f>IFERROR('tablas pernocta cat ev anual'!H52/'tablas pernocta cat ev anual'!H65-1,"-")</f>
        <v>-6.8861948641387616E-2</v>
      </c>
      <c r="I52" s="325">
        <f>IFERROR('tablas pernocta cat ev anual'!I52/'tablas pernocta cat ev anual'!I65-1,"-")</f>
        <v>-8.9991616922254214E-2</v>
      </c>
      <c r="J52" s="325">
        <f>IFERROR('tablas pernocta cat ev anual'!J52/'tablas pernocta cat ev anual'!J65-1,"-")</f>
        <v>-7.7182934247832624E-2</v>
      </c>
    </row>
    <row r="53" spans="3:10" hidden="1" outlineLevel="1">
      <c r="C53" s="51" t="s">
        <v>46</v>
      </c>
      <c r="D53" s="325">
        <f>IFERROR('tablas pernocta cat ev anual'!D53/'tablas pernocta cat ev anual'!D66-1,"-")</f>
        <v>0.15867286735614639</v>
      </c>
      <c r="E53" s="325">
        <f>IFERROR('tablas pernocta cat ev anual'!E53/'tablas pernocta cat ev anual'!E66-1,"-")</f>
        <v>-5.8764099161589978E-2</v>
      </c>
      <c r="F53" s="325">
        <f>IFERROR('tablas pernocta cat ev anual'!F53/'tablas pernocta cat ev anual'!F66-1,"-")</f>
        <v>-1.3542627899338466E-2</v>
      </c>
      <c r="G53" s="325">
        <f>IFERROR('tablas pernocta cat ev anual'!G53/'tablas pernocta cat ev anual'!G66-1,"-")</f>
        <v>-5.2103015400543518E-2</v>
      </c>
      <c r="H53" s="325">
        <f>IFERROR('tablas pernocta cat ev anual'!H53/'tablas pernocta cat ev anual'!H66-1,"-")</f>
        <v>-2.660819548120974E-2</v>
      </c>
      <c r="I53" s="325">
        <f>IFERROR('tablas pernocta cat ev anual'!I53/'tablas pernocta cat ev anual'!I66-1,"-")</f>
        <v>2.856722329265704E-3</v>
      </c>
      <c r="J53" s="325">
        <f>IFERROR('tablas pernocta cat ev anual'!J53/'tablas pernocta cat ev anual'!J66-1,"-")</f>
        <v>-1.4362830554327521E-2</v>
      </c>
    </row>
    <row r="54" spans="3:10" hidden="1" outlineLevel="1">
      <c r="C54" s="51" t="s">
        <v>47</v>
      </c>
      <c r="D54" s="325">
        <f>IFERROR('tablas pernocta cat ev anual'!D54/'tablas pernocta cat ev anual'!D67-1,"-")</f>
        <v>0.12855265887559653</v>
      </c>
      <c r="E54" s="325">
        <f>IFERROR('tablas pernocta cat ev anual'!E54/'tablas pernocta cat ev anual'!E67-1,"-")</f>
        <v>-8.4915724343930021E-2</v>
      </c>
      <c r="F54" s="325">
        <f>IFERROR('tablas pernocta cat ev anual'!F54/'tablas pernocta cat ev anual'!F67-1,"-")</f>
        <v>-1.3421878318521152E-2</v>
      </c>
      <c r="G54" s="325">
        <f>IFERROR('tablas pernocta cat ev anual'!G54/'tablas pernocta cat ev anual'!G67-1,"-")</f>
        <v>1.9948151960504035E-2</v>
      </c>
      <c r="H54" s="325">
        <f>IFERROR('tablas pernocta cat ev anual'!H54/'tablas pernocta cat ev anual'!H67-1,"-")</f>
        <v>-2.3701511302024691E-2</v>
      </c>
      <c r="I54" s="325">
        <f>IFERROR('tablas pernocta cat ev anual'!I54/'tablas pernocta cat ev anual'!I67-1,"-")</f>
        <v>-2.9690405902741857E-2</v>
      </c>
      <c r="J54" s="325">
        <f>IFERROR('tablas pernocta cat ev anual'!J54/'tablas pernocta cat ev anual'!J67-1,"-")</f>
        <v>-2.6236118266103281E-2</v>
      </c>
    </row>
    <row r="55" spans="3:10" hidden="1" outlineLevel="1">
      <c r="C55" s="51" t="s">
        <v>48</v>
      </c>
      <c r="D55" s="325">
        <f>IFERROR('tablas pernocta cat ev anual'!D55/'tablas pernocta cat ev anual'!D68-1,"-")</f>
        <v>8.8819430878426697E-2</v>
      </c>
      <c r="E55" s="325">
        <f>IFERROR('tablas pernocta cat ev anual'!E55/'tablas pernocta cat ev anual'!E68-1,"-")</f>
        <v>-0.1276956940827807</v>
      </c>
      <c r="F55" s="325">
        <f>IFERROR('tablas pernocta cat ev anual'!F55/'tablas pernocta cat ev anual'!F68-1,"-")</f>
        <v>-3.592012542473122E-2</v>
      </c>
      <c r="G55" s="325">
        <f>IFERROR('tablas pernocta cat ev anual'!G55/'tablas pernocta cat ev anual'!G68-1,"-")</f>
        <v>7.564923921748079E-2</v>
      </c>
      <c r="H55" s="325">
        <f>IFERROR('tablas pernocta cat ev anual'!H55/'tablas pernocta cat ev anual'!H68-1,"-")</f>
        <v>-4.2290029995302736E-2</v>
      </c>
      <c r="I55" s="325">
        <f>IFERROR('tablas pernocta cat ev anual'!I55/'tablas pernocta cat ev anual'!I68-1,"-")</f>
        <v>-3.8662527140548741E-2</v>
      </c>
      <c r="J55" s="325">
        <f>IFERROR('tablas pernocta cat ev anual'!J55/'tablas pernocta cat ev anual'!J68-1,"-")</f>
        <v>-4.0809051255802364E-2</v>
      </c>
    </row>
    <row r="56" spans="3:10" collapsed="1">
      <c r="C56" s="165">
        <v>2007</v>
      </c>
      <c r="D56" s="328">
        <f>IFERROR('tablas pernocta cat ev anual'!D56/'tablas pernocta cat ev anual'!D69-1,"-")</f>
        <v>-1.5311092730447617E-2</v>
      </c>
      <c r="E56" s="328">
        <f>IFERROR('tablas pernocta cat ev anual'!E56/'tablas pernocta cat ev anual'!E69-1,"-")</f>
        <v>-5.2916447642263997E-2</v>
      </c>
      <c r="F56" s="328">
        <f>IFERROR('tablas pernocta cat ev anual'!F56/'tablas pernocta cat ev anual'!F69-1,"-")</f>
        <v>-2.2465869622894541E-2</v>
      </c>
      <c r="G56" s="328">
        <f>IFERROR('tablas pernocta cat ev anual'!G56/'tablas pernocta cat ev anual'!G69-1,"-")</f>
        <v>-2.8225447821599303E-2</v>
      </c>
      <c r="H56" s="328">
        <f>IFERROR('tablas pernocta cat ev anual'!H56/'tablas pernocta cat ev anual'!H69-1,"-")</f>
        <v>-2.9795844968964258E-2</v>
      </c>
      <c r="I56" s="328">
        <f>IFERROR('tablas pernocta cat ev anual'!I56/'tablas pernocta cat ev anual'!I69-1,"-")</f>
        <v>-5.535858254799908E-2</v>
      </c>
      <c r="J56" s="328">
        <f>IFERROR('tablas pernocta cat ev anual'!J56/'tablas pernocta cat ev anual'!J69-1,"-")</f>
        <v>-3.9939435841925164E-2</v>
      </c>
    </row>
    <row r="57" spans="3:10">
      <c r="C57" s="166" t="s">
        <v>32</v>
      </c>
      <c r="D57" s="166"/>
      <c r="E57" s="166"/>
      <c r="F57" s="166"/>
      <c r="G57" s="166"/>
      <c r="H57" s="166"/>
      <c r="I57" s="166"/>
      <c r="J57" s="166"/>
    </row>
  </sheetData>
  <mergeCells count="2">
    <mergeCell ref="C3:J3"/>
    <mergeCell ref="C57:J5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1:K28"/>
  <sheetViews>
    <sheetView showGridLines="0" showRowColHeaders="0" showOutlineSymbols="0" zoomScaleNormal="100" workbookViewId="0">
      <selection activeCell="B25" sqref="B25"/>
    </sheetView>
  </sheetViews>
  <sheetFormatPr baseColWidth="10" defaultRowHeight="12.75"/>
  <cols>
    <col min="1" max="1" width="11.42578125" style="23"/>
    <col min="2" max="2" width="34.28515625" style="23" customWidth="1"/>
    <col min="3" max="3" width="12.5703125" style="23" customWidth="1"/>
    <col min="4" max="4" width="10.5703125" style="23" customWidth="1"/>
    <col min="5" max="5" width="12.5703125" style="23" customWidth="1"/>
    <col min="6" max="6" width="10.5703125" style="23" customWidth="1"/>
    <col min="7" max="7" width="10.7109375" style="23" customWidth="1"/>
    <col min="8" max="14" width="11.42578125" style="23"/>
    <col min="15" max="15" width="13.85546875" style="23" customWidth="1"/>
    <col min="16" max="257" width="11.42578125" style="23"/>
    <col min="258" max="258" width="34.28515625" style="23" customWidth="1"/>
    <col min="259" max="259" width="12.5703125" style="23" customWidth="1"/>
    <col min="260" max="260" width="10.5703125" style="23" customWidth="1"/>
    <col min="261" max="261" width="12.5703125" style="23" customWidth="1"/>
    <col min="262" max="262" width="10.5703125" style="23" customWidth="1"/>
    <col min="263" max="263" width="10.7109375" style="23" customWidth="1"/>
    <col min="264" max="270" width="11.42578125" style="23"/>
    <col min="271" max="271" width="13.85546875" style="23" customWidth="1"/>
    <col min="272" max="513" width="11.42578125" style="23"/>
    <col min="514" max="514" width="34.28515625" style="23" customWidth="1"/>
    <col min="515" max="515" width="12.5703125" style="23" customWidth="1"/>
    <col min="516" max="516" width="10.5703125" style="23" customWidth="1"/>
    <col min="517" max="517" width="12.5703125" style="23" customWidth="1"/>
    <col min="518" max="518" width="10.5703125" style="23" customWidth="1"/>
    <col min="519" max="519" width="10.7109375" style="23" customWidth="1"/>
    <col min="520" max="526" width="11.42578125" style="23"/>
    <col min="527" max="527" width="13.85546875" style="23" customWidth="1"/>
    <col min="528" max="769" width="11.42578125" style="23"/>
    <col min="770" max="770" width="34.28515625" style="23" customWidth="1"/>
    <col min="771" max="771" width="12.5703125" style="23" customWidth="1"/>
    <col min="772" max="772" width="10.5703125" style="23" customWidth="1"/>
    <col min="773" max="773" width="12.5703125" style="23" customWidth="1"/>
    <col min="774" max="774" width="10.5703125" style="23" customWidth="1"/>
    <col min="775" max="775" width="10.7109375" style="23" customWidth="1"/>
    <col min="776" max="782" width="11.42578125" style="23"/>
    <col min="783" max="783" width="13.85546875" style="23" customWidth="1"/>
    <col min="784" max="1025" width="11.42578125" style="23"/>
    <col min="1026" max="1026" width="34.28515625" style="23" customWidth="1"/>
    <col min="1027" max="1027" width="12.5703125" style="23" customWidth="1"/>
    <col min="1028" max="1028" width="10.5703125" style="23" customWidth="1"/>
    <col min="1029" max="1029" width="12.5703125" style="23" customWidth="1"/>
    <col min="1030" max="1030" width="10.5703125" style="23" customWidth="1"/>
    <col min="1031" max="1031" width="10.7109375" style="23" customWidth="1"/>
    <col min="1032" max="1038" width="11.42578125" style="23"/>
    <col min="1039" max="1039" width="13.85546875" style="23" customWidth="1"/>
    <col min="1040" max="1281" width="11.42578125" style="23"/>
    <col min="1282" max="1282" width="34.28515625" style="23" customWidth="1"/>
    <col min="1283" max="1283" width="12.5703125" style="23" customWidth="1"/>
    <col min="1284" max="1284" width="10.5703125" style="23" customWidth="1"/>
    <col min="1285" max="1285" width="12.5703125" style="23" customWidth="1"/>
    <col min="1286" max="1286" width="10.5703125" style="23" customWidth="1"/>
    <col min="1287" max="1287" width="10.7109375" style="23" customWidth="1"/>
    <col min="1288" max="1294" width="11.42578125" style="23"/>
    <col min="1295" max="1295" width="13.85546875" style="23" customWidth="1"/>
    <col min="1296" max="1537" width="11.42578125" style="23"/>
    <col min="1538" max="1538" width="34.28515625" style="23" customWidth="1"/>
    <col min="1539" max="1539" width="12.5703125" style="23" customWidth="1"/>
    <col min="1540" max="1540" width="10.5703125" style="23" customWidth="1"/>
    <col min="1541" max="1541" width="12.5703125" style="23" customWidth="1"/>
    <col min="1542" max="1542" width="10.5703125" style="23" customWidth="1"/>
    <col min="1543" max="1543" width="10.7109375" style="23" customWidth="1"/>
    <col min="1544" max="1550" width="11.42578125" style="23"/>
    <col min="1551" max="1551" width="13.85546875" style="23" customWidth="1"/>
    <col min="1552" max="1793" width="11.42578125" style="23"/>
    <col min="1794" max="1794" width="34.28515625" style="23" customWidth="1"/>
    <col min="1795" max="1795" width="12.5703125" style="23" customWidth="1"/>
    <col min="1796" max="1796" width="10.5703125" style="23" customWidth="1"/>
    <col min="1797" max="1797" width="12.5703125" style="23" customWidth="1"/>
    <col min="1798" max="1798" width="10.5703125" style="23" customWidth="1"/>
    <col min="1799" max="1799" width="10.7109375" style="23" customWidth="1"/>
    <col min="1800" max="1806" width="11.42578125" style="23"/>
    <col min="1807" max="1807" width="13.85546875" style="23" customWidth="1"/>
    <col min="1808" max="2049" width="11.42578125" style="23"/>
    <col min="2050" max="2050" width="34.28515625" style="23" customWidth="1"/>
    <col min="2051" max="2051" width="12.5703125" style="23" customWidth="1"/>
    <col min="2052" max="2052" width="10.5703125" style="23" customWidth="1"/>
    <col min="2053" max="2053" width="12.5703125" style="23" customWidth="1"/>
    <col min="2054" max="2054" width="10.5703125" style="23" customWidth="1"/>
    <col min="2055" max="2055" width="10.7109375" style="23" customWidth="1"/>
    <col min="2056" max="2062" width="11.42578125" style="23"/>
    <col min="2063" max="2063" width="13.85546875" style="23" customWidth="1"/>
    <col min="2064" max="2305" width="11.42578125" style="23"/>
    <col min="2306" max="2306" width="34.28515625" style="23" customWidth="1"/>
    <col min="2307" max="2307" width="12.5703125" style="23" customWidth="1"/>
    <col min="2308" max="2308" width="10.5703125" style="23" customWidth="1"/>
    <col min="2309" max="2309" width="12.5703125" style="23" customWidth="1"/>
    <col min="2310" max="2310" width="10.5703125" style="23" customWidth="1"/>
    <col min="2311" max="2311" width="10.7109375" style="23" customWidth="1"/>
    <col min="2312" max="2318" width="11.42578125" style="23"/>
    <col min="2319" max="2319" width="13.85546875" style="23" customWidth="1"/>
    <col min="2320" max="2561" width="11.42578125" style="23"/>
    <col min="2562" max="2562" width="34.28515625" style="23" customWidth="1"/>
    <col min="2563" max="2563" width="12.5703125" style="23" customWidth="1"/>
    <col min="2564" max="2564" width="10.5703125" style="23" customWidth="1"/>
    <col min="2565" max="2565" width="12.5703125" style="23" customWidth="1"/>
    <col min="2566" max="2566" width="10.5703125" style="23" customWidth="1"/>
    <col min="2567" max="2567" width="10.7109375" style="23" customWidth="1"/>
    <col min="2568" max="2574" width="11.42578125" style="23"/>
    <col min="2575" max="2575" width="13.85546875" style="23" customWidth="1"/>
    <col min="2576" max="2817" width="11.42578125" style="23"/>
    <col min="2818" max="2818" width="34.28515625" style="23" customWidth="1"/>
    <col min="2819" max="2819" width="12.5703125" style="23" customWidth="1"/>
    <col min="2820" max="2820" width="10.5703125" style="23" customWidth="1"/>
    <col min="2821" max="2821" width="12.5703125" style="23" customWidth="1"/>
    <col min="2822" max="2822" width="10.5703125" style="23" customWidth="1"/>
    <col min="2823" max="2823" width="10.7109375" style="23" customWidth="1"/>
    <col min="2824" max="2830" width="11.42578125" style="23"/>
    <col min="2831" max="2831" width="13.85546875" style="23" customWidth="1"/>
    <col min="2832" max="3073" width="11.42578125" style="23"/>
    <col min="3074" max="3074" width="34.28515625" style="23" customWidth="1"/>
    <col min="3075" max="3075" width="12.5703125" style="23" customWidth="1"/>
    <col min="3076" max="3076" width="10.5703125" style="23" customWidth="1"/>
    <col min="3077" max="3077" width="12.5703125" style="23" customWidth="1"/>
    <col min="3078" max="3078" width="10.5703125" style="23" customWidth="1"/>
    <col min="3079" max="3079" width="10.7109375" style="23" customWidth="1"/>
    <col min="3080" max="3086" width="11.42578125" style="23"/>
    <col min="3087" max="3087" width="13.85546875" style="23" customWidth="1"/>
    <col min="3088" max="3329" width="11.42578125" style="23"/>
    <col min="3330" max="3330" width="34.28515625" style="23" customWidth="1"/>
    <col min="3331" max="3331" width="12.5703125" style="23" customWidth="1"/>
    <col min="3332" max="3332" width="10.5703125" style="23" customWidth="1"/>
    <col min="3333" max="3333" width="12.5703125" style="23" customWidth="1"/>
    <col min="3334" max="3334" width="10.5703125" style="23" customWidth="1"/>
    <col min="3335" max="3335" width="10.7109375" style="23" customWidth="1"/>
    <col min="3336" max="3342" width="11.42578125" style="23"/>
    <col min="3343" max="3343" width="13.85546875" style="23" customWidth="1"/>
    <col min="3344" max="3585" width="11.42578125" style="23"/>
    <col min="3586" max="3586" width="34.28515625" style="23" customWidth="1"/>
    <col min="3587" max="3587" width="12.5703125" style="23" customWidth="1"/>
    <col min="3588" max="3588" width="10.5703125" style="23" customWidth="1"/>
    <col min="3589" max="3589" width="12.5703125" style="23" customWidth="1"/>
    <col min="3590" max="3590" width="10.5703125" style="23" customWidth="1"/>
    <col min="3591" max="3591" width="10.7109375" style="23" customWidth="1"/>
    <col min="3592" max="3598" width="11.42578125" style="23"/>
    <col min="3599" max="3599" width="13.85546875" style="23" customWidth="1"/>
    <col min="3600" max="3841" width="11.42578125" style="23"/>
    <col min="3842" max="3842" width="34.28515625" style="23" customWidth="1"/>
    <col min="3843" max="3843" width="12.5703125" style="23" customWidth="1"/>
    <col min="3844" max="3844" width="10.5703125" style="23" customWidth="1"/>
    <col min="3845" max="3845" width="12.5703125" style="23" customWidth="1"/>
    <col min="3846" max="3846" width="10.5703125" style="23" customWidth="1"/>
    <col min="3847" max="3847" width="10.7109375" style="23" customWidth="1"/>
    <col min="3848" max="3854" width="11.42578125" style="23"/>
    <col min="3855" max="3855" width="13.85546875" style="23" customWidth="1"/>
    <col min="3856" max="4097" width="11.42578125" style="23"/>
    <col min="4098" max="4098" width="34.28515625" style="23" customWidth="1"/>
    <col min="4099" max="4099" width="12.5703125" style="23" customWidth="1"/>
    <col min="4100" max="4100" width="10.5703125" style="23" customWidth="1"/>
    <col min="4101" max="4101" width="12.5703125" style="23" customWidth="1"/>
    <col min="4102" max="4102" width="10.5703125" style="23" customWidth="1"/>
    <col min="4103" max="4103" width="10.7109375" style="23" customWidth="1"/>
    <col min="4104" max="4110" width="11.42578125" style="23"/>
    <col min="4111" max="4111" width="13.85546875" style="23" customWidth="1"/>
    <col min="4112" max="4353" width="11.42578125" style="23"/>
    <col min="4354" max="4354" width="34.28515625" style="23" customWidth="1"/>
    <col min="4355" max="4355" width="12.5703125" style="23" customWidth="1"/>
    <col min="4356" max="4356" width="10.5703125" style="23" customWidth="1"/>
    <col min="4357" max="4357" width="12.5703125" style="23" customWidth="1"/>
    <col min="4358" max="4358" width="10.5703125" style="23" customWidth="1"/>
    <col min="4359" max="4359" width="10.7109375" style="23" customWidth="1"/>
    <col min="4360" max="4366" width="11.42578125" style="23"/>
    <col min="4367" max="4367" width="13.85546875" style="23" customWidth="1"/>
    <col min="4368" max="4609" width="11.42578125" style="23"/>
    <col min="4610" max="4610" width="34.28515625" style="23" customWidth="1"/>
    <col min="4611" max="4611" width="12.5703125" style="23" customWidth="1"/>
    <col min="4612" max="4612" width="10.5703125" style="23" customWidth="1"/>
    <col min="4613" max="4613" width="12.5703125" style="23" customWidth="1"/>
    <col min="4614" max="4614" width="10.5703125" style="23" customWidth="1"/>
    <col min="4615" max="4615" width="10.7109375" style="23" customWidth="1"/>
    <col min="4616" max="4622" width="11.42578125" style="23"/>
    <col min="4623" max="4623" width="13.85546875" style="23" customWidth="1"/>
    <col min="4624" max="4865" width="11.42578125" style="23"/>
    <col min="4866" max="4866" width="34.28515625" style="23" customWidth="1"/>
    <col min="4867" max="4867" width="12.5703125" style="23" customWidth="1"/>
    <col min="4868" max="4868" width="10.5703125" style="23" customWidth="1"/>
    <col min="4869" max="4869" width="12.5703125" style="23" customWidth="1"/>
    <col min="4870" max="4870" width="10.5703125" style="23" customWidth="1"/>
    <col min="4871" max="4871" width="10.7109375" style="23" customWidth="1"/>
    <col min="4872" max="4878" width="11.42578125" style="23"/>
    <col min="4879" max="4879" width="13.85546875" style="23" customWidth="1"/>
    <col min="4880" max="5121" width="11.42578125" style="23"/>
    <col min="5122" max="5122" width="34.28515625" style="23" customWidth="1"/>
    <col min="5123" max="5123" width="12.5703125" style="23" customWidth="1"/>
    <col min="5124" max="5124" width="10.5703125" style="23" customWidth="1"/>
    <col min="5125" max="5125" width="12.5703125" style="23" customWidth="1"/>
    <col min="5126" max="5126" width="10.5703125" style="23" customWidth="1"/>
    <col min="5127" max="5127" width="10.7109375" style="23" customWidth="1"/>
    <col min="5128" max="5134" width="11.42578125" style="23"/>
    <col min="5135" max="5135" width="13.85546875" style="23" customWidth="1"/>
    <col min="5136" max="5377" width="11.42578125" style="23"/>
    <col min="5378" max="5378" width="34.28515625" style="23" customWidth="1"/>
    <col min="5379" max="5379" width="12.5703125" style="23" customWidth="1"/>
    <col min="5380" max="5380" width="10.5703125" style="23" customWidth="1"/>
    <col min="5381" max="5381" width="12.5703125" style="23" customWidth="1"/>
    <col min="5382" max="5382" width="10.5703125" style="23" customWidth="1"/>
    <col min="5383" max="5383" width="10.7109375" style="23" customWidth="1"/>
    <col min="5384" max="5390" width="11.42578125" style="23"/>
    <col min="5391" max="5391" width="13.85546875" style="23" customWidth="1"/>
    <col min="5392" max="5633" width="11.42578125" style="23"/>
    <col min="5634" max="5634" width="34.28515625" style="23" customWidth="1"/>
    <col min="5635" max="5635" width="12.5703125" style="23" customWidth="1"/>
    <col min="5636" max="5636" width="10.5703125" style="23" customWidth="1"/>
    <col min="5637" max="5637" width="12.5703125" style="23" customWidth="1"/>
    <col min="5638" max="5638" width="10.5703125" style="23" customWidth="1"/>
    <col min="5639" max="5639" width="10.7109375" style="23" customWidth="1"/>
    <col min="5640" max="5646" width="11.42578125" style="23"/>
    <col min="5647" max="5647" width="13.85546875" style="23" customWidth="1"/>
    <col min="5648" max="5889" width="11.42578125" style="23"/>
    <col min="5890" max="5890" width="34.28515625" style="23" customWidth="1"/>
    <col min="5891" max="5891" width="12.5703125" style="23" customWidth="1"/>
    <col min="5892" max="5892" width="10.5703125" style="23" customWidth="1"/>
    <col min="5893" max="5893" width="12.5703125" style="23" customWidth="1"/>
    <col min="5894" max="5894" width="10.5703125" style="23" customWidth="1"/>
    <col min="5895" max="5895" width="10.7109375" style="23" customWidth="1"/>
    <col min="5896" max="5902" width="11.42578125" style="23"/>
    <col min="5903" max="5903" width="13.85546875" style="23" customWidth="1"/>
    <col min="5904" max="6145" width="11.42578125" style="23"/>
    <col min="6146" max="6146" width="34.28515625" style="23" customWidth="1"/>
    <col min="6147" max="6147" width="12.5703125" style="23" customWidth="1"/>
    <col min="6148" max="6148" width="10.5703125" style="23" customWidth="1"/>
    <col min="6149" max="6149" width="12.5703125" style="23" customWidth="1"/>
    <col min="6150" max="6150" width="10.5703125" style="23" customWidth="1"/>
    <col min="6151" max="6151" width="10.7109375" style="23" customWidth="1"/>
    <col min="6152" max="6158" width="11.42578125" style="23"/>
    <col min="6159" max="6159" width="13.85546875" style="23" customWidth="1"/>
    <col min="6160" max="6401" width="11.42578125" style="23"/>
    <col min="6402" max="6402" width="34.28515625" style="23" customWidth="1"/>
    <col min="6403" max="6403" width="12.5703125" style="23" customWidth="1"/>
    <col min="6404" max="6404" width="10.5703125" style="23" customWidth="1"/>
    <col min="6405" max="6405" width="12.5703125" style="23" customWidth="1"/>
    <col min="6406" max="6406" width="10.5703125" style="23" customWidth="1"/>
    <col min="6407" max="6407" width="10.7109375" style="23" customWidth="1"/>
    <col min="6408" max="6414" width="11.42578125" style="23"/>
    <col min="6415" max="6415" width="13.85546875" style="23" customWidth="1"/>
    <col min="6416" max="6657" width="11.42578125" style="23"/>
    <col min="6658" max="6658" width="34.28515625" style="23" customWidth="1"/>
    <col min="6659" max="6659" width="12.5703125" style="23" customWidth="1"/>
    <col min="6660" max="6660" width="10.5703125" style="23" customWidth="1"/>
    <col min="6661" max="6661" width="12.5703125" style="23" customWidth="1"/>
    <col min="6662" max="6662" width="10.5703125" style="23" customWidth="1"/>
    <col min="6663" max="6663" width="10.7109375" style="23" customWidth="1"/>
    <col min="6664" max="6670" width="11.42578125" style="23"/>
    <col min="6671" max="6671" width="13.85546875" style="23" customWidth="1"/>
    <col min="6672" max="6913" width="11.42578125" style="23"/>
    <col min="6914" max="6914" width="34.28515625" style="23" customWidth="1"/>
    <col min="6915" max="6915" width="12.5703125" style="23" customWidth="1"/>
    <col min="6916" max="6916" width="10.5703125" style="23" customWidth="1"/>
    <col min="6917" max="6917" width="12.5703125" style="23" customWidth="1"/>
    <col min="6918" max="6918" width="10.5703125" style="23" customWidth="1"/>
    <col min="6919" max="6919" width="10.7109375" style="23" customWidth="1"/>
    <col min="6920" max="6926" width="11.42578125" style="23"/>
    <col min="6927" max="6927" width="13.85546875" style="23" customWidth="1"/>
    <col min="6928" max="7169" width="11.42578125" style="23"/>
    <col min="7170" max="7170" width="34.28515625" style="23" customWidth="1"/>
    <col min="7171" max="7171" width="12.5703125" style="23" customWidth="1"/>
    <col min="7172" max="7172" width="10.5703125" style="23" customWidth="1"/>
    <col min="7173" max="7173" width="12.5703125" style="23" customWidth="1"/>
    <col min="7174" max="7174" width="10.5703125" style="23" customWidth="1"/>
    <col min="7175" max="7175" width="10.7109375" style="23" customWidth="1"/>
    <col min="7176" max="7182" width="11.42578125" style="23"/>
    <col min="7183" max="7183" width="13.85546875" style="23" customWidth="1"/>
    <col min="7184" max="7425" width="11.42578125" style="23"/>
    <col min="7426" max="7426" width="34.28515625" style="23" customWidth="1"/>
    <col min="7427" max="7427" width="12.5703125" style="23" customWidth="1"/>
    <col min="7428" max="7428" width="10.5703125" style="23" customWidth="1"/>
    <col min="7429" max="7429" width="12.5703125" style="23" customWidth="1"/>
    <col min="7430" max="7430" width="10.5703125" style="23" customWidth="1"/>
    <col min="7431" max="7431" width="10.7109375" style="23" customWidth="1"/>
    <col min="7432" max="7438" width="11.42578125" style="23"/>
    <col min="7439" max="7439" width="13.85546875" style="23" customWidth="1"/>
    <col min="7440" max="7681" width="11.42578125" style="23"/>
    <col min="7682" max="7682" width="34.28515625" style="23" customWidth="1"/>
    <col min="7683" max="7683" width="12.5703125" style="23" customWidth="1"/>
    <col min="7684" max="7684" width="10.5703125" style="23" customWidth="1"/>
    <col min="7685" max="7685" width="12.5703125" style="23" customWidth="1"/>
    <col min="7686" max="7686" width="10.5703125" style="23" customWidth="1"/>
    <col min="7687" max="7687" width="10.7109375" style="23" customWidth="1"/>
    <col min="7688" max="7694" width="11.42578125" style="23"/>
    <col min="7695" max="7695" width="13.85546875" style="23" customWidth="1"/>
    <col min="7696" max="7937" width="11.42578125" style="23"/>
    <col min="7938" max="7938" width="34.28515625" style="23" customWidth="1"/>
    <col min="7939" max="7939" width="12.5703125" style="23" customWidth="1"/>
    <col min="7940" max="7940" width="10.5703125" style="23" customWidth="1"/>
    <col min="7941" max="7941" width="12.5703125" style="23" customWidth="1"/>
    <col min="7942" max="7942" width="10.5703125" style="23" customWidth="1"/>
    <col min="7943" max="7943" width="10.7109375" style="23" customWidth="1"/>
    <col min="7944" max="7950" width="11.42578125" style="23"/>
    <col min="7951" max="7951" width="13.85546875" style="23" customWidth="1"/>
    <col min="7952" max="8193" width="11.42578125" style="23"/>
    <col min="8194" max="8194" width="34.28515625" style="23" customWidth="1"/>
    <col min="8195" max="8195" width="12.5703125" style="23" customWidth="1"/>
    <col min="8196" max="8196" width="10.5703125" style="23" customWidth="1"/>
    <col min="8197" max="8197" width="12.5703125" style="23" customWidth="1"/>
    <col min="8198" max="8198" width="10.5703125" style="23" customWidth="1"/>
    <col min="8199" max="8199" width="10.7109375" style="23" customWidth="1"/>
    <col min="8200" max="8206" width="11.42578125" style="23"/>
    <col min="8207" max="8207" width="13.85546875" style="23" customWidth="1"/>
    <col min="8208" max="8449" width="11.42578125" style="23"/>
    <col min="8450" max="8450" width="34.28515625" style="23" customWidth="1"/>
    <col min="8451" max="8451" width="12.5703125" style="23" customWidth="1"/>
    <col min="8452" max="8452" width="10.5703125" style="23" customWidth="1"/>
    <col min="8453" max="8453" width="12.5703125" style="23" customWidth="1"/>
    <col min="8454" max="8454" width="10.5703125" style="23" customWidth="1"/>
    <col min="8455" max="8455" width="10.7109375" style="23" customWidth="1"/>
    <col min="8456" max="8462" width="11.42578125" style="23"/>
    <col min="8463" max="8463" width="13.85546875" style="23" customWidth="1"/>
    <col min="8464" max="8705" width="11.42578125" style="23"/>
    <col min="8706" max="8706" width="34.28515625" style="23" customWidth="1"/>
    <col min="8707" max="8707" width="12.5703125" style="23" customWidth="1"/>
    <col min="8708" max="8708" width="10.5703125" style="23" customWidth="1"/>
    <col min="8709" max="8709" width="12.5703125" style="23" customWidth="1"/>
    <col min="8710" max="8710" width="10.5703125" style="23" customWidth="1"/>
    <col min="8711" max="8711" width="10.7109375" style="23" customWidth="1"/>
    <col min="8712" max="8718" width="11.42578125" style="23"/>
    <col min="8719" max="8719" width="13.85546875" style="23" customWidth="1"/>
    <col min="8720" max="8961" width="11.42578125" style="23"/>
    <col min="8962" max="8962" width="34.28515625" style="23" customWidth="1"/>
    <col min="8963" max="8963" width="12.5703125" style="23" customWidth="1"/>
    <col min="8964" max="8964" width="10.5703125" style="23" customWidth="1"/>
    <col min="8965" max="8965" width="12.5703125" style="23" customWidth="1"/>
    <col min="8966" max="8966" width="10.5703125" style="23" customWidth="1"/>
    <col min="8967" max="8967" width="10.7109375" style="23" customWidth="1"/>
    <col min="8968" max="8974" width="11.42578125" style="23"/>
    <col min="8975" max="8975" width="13.85546875" style="23" customWidth="1"/>
    <col min="8976" max="9217" width="11.42578125" style="23"/>
    <col min="9218" max="9218" width="34.28515625" style="23" customWidth="1"/>
    <col min="9219" max="9219" width="12.5703125" style="23" customWidth="1"/>
    <col min="9220" max="9220" width="10.5703125" style="23" customWidth="1"/>
    <col min="9221" max="9221" width="12.5703125" style="23" customWidth="1"/>
    <col min="9222" max="9222" width="10.5703125" style="23" customWidth="1"/>
    <col min="9223" max="9223" width="10.7109375" style="23" customWidth="1"/>
    <col min="9224" max="9230" width="11.42578125" style="23"/>
    <col min="9231" max="9231" width="13.85546875" style="23" customWidth="1"/>
    <col min="9232" max="9473" width="11.42578125" style="23"/>
    <col min="9474" max="9474" width="34.28515625" style="23" customWidth="1"/>
    <col min="9475" max="9475" width="12.5703125" style="23" customWidth="1"/>
    <col min="9476" max="9476" width="10.5703125" style="23" customWidth="1"/>
    <col min="9477" max="9477" width="12.5703125" style="23" customWidth="1"/>
    <col min="9478" max="9478" width="10.5703125" style="23" customWidth="1"/>
    <col min="9479" max="9479" width="10.7109375" style="23" customWidth="1"/>
    <col min="9480" max="9486" width="11.42578125" style="23"/>
    <col min="9487" max="9487" width="13.85546875" style="23" customWidth="1"/>
    <col min="9488" max="9729" width="11.42578125" style="23"/>
    <col min="9730" max="9730" width="34.28515625" style="23" customWidth="1"/>
    <col min="9731" max="9731" width="12.5703125" style="23" customWidth="1"/>
    <col min="9732" max="9732" width="10.5703125" style="23" customWidth="1"/>
    <col min="9733" max="9733" width="12.5703125" style="23" customWidth="1"/>
    <col min="9734" max="9734" width="10.5703125" style="23" customWidth="1"/>
    <col min="9735" max="9735" width="10.7109375" style="23" customWidth="1"/>
    <col min="9736" max="9742" width="11.42578125" style="23"/>
    <col min="9743" max="9743" width="13.85546875" style="23" customWidth="1"/>
    <col min="9744" max="9985" width="11.42578125" style="23"/>
    <col min="9986" max="9986" width="34.28515625" style="23" customWidth="1"/>
    <col min="9987" max="9987" width="12.5703125" style="23" customWidth="1"/>
    <col min="9988" max="9988" width="10.5703125" style="23" customWidth="1"/>
    <col min="9989" max="9989" width="12.5703125" style="23" customWidth="1"/>
    <col min="9990" max="9990" width="10.5703125" style="23" customWidth="1"/>
    <col min="9991" max="9991" width="10.7109375" style="23" customWidth="1"/>
    <col min="9992" max="9998" width="11.42578125" style="23"/>
    <col min="9999" max="9999" width="13.85546875" style="23" customWidth="1"/>
    <col min="10000" max="10241" width="11.42578125" style="23"/>
    <col min="10242" max="10242" width="34.28515625" style="23" customWidth="1"/>
    <col min="10243" max="10243" width="12.5703125" style="23" customWidth="1"/>
    <col min="10244" max="10244" width="10.5703125" style="23" customWidth="1"/>
    <col min="10245" max="10245" width="12.5703125" style="23" customWidth="1"/>
    <col min="10246" max="10246" width="10.5703125" style="23" customWidth="1"/>
    <col min="10247" max="10247" width="10.7109375" style="23" customWidth="1"/>
    <col min="10248" max="10254" width="11.42578125" style="23"/>
    <col min="10255" max="10255" width="13.85546875" style="23" customWidth="1"/>
    <col min="10256" max="10497" width="11.42578125" style="23"/>
    <col min="10498" max="10498" width="34.28515625" style="23" customWidth="1"/>
    <col min="10499" max="10499" width="12.5703125" style="23" customWidth="1"/>
    <col min="10500" max="10500" width="10.5703125" style="23" customWidth="1"/>
    <col min="10501" max="10501" width="12.5703125" style="23" customWidth="1"/>
    <col min="10502" max="10502" width="10.5703125" style="23" customWidth="1"/>
    <col min="10503" max="10503" width="10.7109375" style="23" customWidth="1"/>
    <col min="10504" max="10510" width="11.42578125" style="23"/>
    <col min="10511" max="10511" width="13.85546875" style="23" customWidth="1"/>
    <col min="10512" max="10753" width="11.42578125" style="23"/>
    <col min="10754" max="10754" width="34.28515625" style="23" customWidth="1"/>
    <col min="10755" max="10755" width="12.5703125" style="23" customWidth="1"/>
    <col min="10756" max="10756" width="10.5703125" style="23" customWidth="1"/>
    <col min="10757" max="10757" width="12.5703125" style="23" customWidth="1"/>
    <col min="10758" max="10758" width="10.5703125" style="23" customWidth="1"/>
    <col min="10759" max="10759" width="10.7109375" style="23" customWidth="1"/>
    <col min="10760" max="10766" width="11.42578125" style="23"/>
    <col min="10767" max="10767" width="13.85546875" style="23" customWidth="1"/>
    <col min="10768" max="11009" width="11.42578125" style="23"/>
    <col min="11010" max="11010" width="34.28515625" style="23" customWidth="1"/>
    <col min="11011" max="11011" width="12.5703125" style="23" customWidth="1"/>
    <col min="11012" max="11012" width="10.5703125" style="23" customWidth="1"/>
    <col min="11013" max="11013" width="12.5703125" style="23" customWidth="1"/>
    <col min="11014" max="11014" width="10.5703125" style="23" customWidth="1"/>
    <col min="11015" max="11015" width="10.7109375" style="23" customWidth="1"/>
    <col min="11016" max="11022" width="11.42578125" style="23"/>
    <col min="11023" max="11023" width="13.85546875" style="23" customWidth="1"/>
    <col min="11024" max="11265" width="11.42578125" style="23"/>
    <col min="11266" max="11266" width="34.28515625" style="23" customWidth="1"/>
    <col min="11267" max="11267" width="12.5703125" style="23" customWidth="1"/>
    <col min="11268" max="11268" width="10.5703125" style="23" customWidth="1"/>
    <col min="11269" max="11269" width="12.5703125" style="23" customWidth="1"/>
    <col min="11270" max="11270" width="10.5703125" style="23" customWidth="1"/>
    <col min="11271" max="11271" width="10.7109375" style="23" customWidth="1"/>
    <col min="11272" max="11278" width="11.42578125" style="23"/>
    <col min="11279" max="11279" width="13.85546875" style="23" customWidth="1"/>
    <col min="11280" max="11521" width="11.42578125" style="23"/>
    <col min="11522" max="11522" width="34.28515625" style="23" customWidth="1"/>
    <col min="11523" max="11523" width="12.5703125" style="23" customWidth="1"/>
    <col min="11524" max="11524" width="10.5703125" style="23" customWidth="1"/>
    <col min="11525" max="11525" width="12.5703125" style="23" customWidth="1"/>
    <col min="11526" max="11526" width="10.5703125" style="23" customWidth="1"/>
    <col min="11527" max="11527" width="10.7109375" style="23" customWidth="1"/>
    <col min="11528" max="11534" width="11.42578125" style="23"/>
    <col min="11535" max="11535" width="13.85546875" style="23" customWidth="1"/>
    <col min="11536" max="11777" width="11.42578125" style="23"/>
    <col min="11778" max="11778" width="34.28515625" style="23" customWidth="1"/>
    <col min="11779" max="11779" width="12.5703125" style="23" customWidth="1"/>
    <col min="11780" max="11780" width="10.5703125" style="23" customWidth="1"/>
    <col min="11781" max="11781" width="12.5703125" style="23" customWidth="1"/>
    <col min="11782" max="11782" width="10.5703125" style="23" customWidth="1"/>
    <col min="11783" max="11783" width="10.7109375" style="23" customWidth="1"/>
    <col min="11784" max="11790" width="11.42578125" style="23"/>
    <col min="11791" max="11791" width="13.85546875" style="23" customWidth="1"/>
    <col min="11792" max="12033" width="11.42578125" style="23"/>
    <col min="12034" max="12034" width="34.28515625" style="23" customWidth="1"/>
    <col min="12035" max="12035" width="12.5703125" style="23" customWidth="1"/>
    <col min="12036" max="12036" width="10.5703125" style="23" customWidth="1"/>
    <col min="12037" max="12037" width="12.5703125" style="23" customWidth="1"/>
    <col min="12038" max="12038" width="10.5703125" style="23" customWidth="1"/>
    <col min="12039" max="12039" width="10.7109375" style="23" customWidth="1"/>
    <col min="12040" max="12046" width="11.42578125" style="23"/>
    <col min="12047" max="12047" width="13.85546875" style="23" customWidth="1"/>
    <col min="12048" max="12289" width="11.42578125" style="23"/>
    <col min="12290" max="12290" width="34.28515625" style="23" customWidth="1"/>
    <col min="12291" max="12291" width="12.5703125" style="23" customWidth="1"/>
    <col min="12292" max="12292" width="10.5703125" style="23" customWidth="1"/>
    <col min="12293" max="12293" width="12.5703125" style="23" customWidth="1"/>
    <col min="12294" max="12294" width="10.5703125" style="23" customWidth="1"/>
    <col min="12295" max="12295" width="10.7109375" style="23" customWidth="1"/>
    <col min="12296" max="12302" width="11.42578125" style="23"/>
    <col min="12303" max="12303" width="13.85546875" style="23" customWidth="1"/>
    <col min="12304" max="12545" width="11.42578125" style="23"/>
    <col min="12546" max="12546" width="34.28515625" style="23" customWidth="1"/>
    <col min="12547" max="12547" width="12.5703125" style="23" customWidth="1"/>
    <col min="12548" max="12548" width="10.5703125" style="23" customWidth="1"/>
    <col min="12549" max="12549" width="12.5703125" style="23" customWidth="1"/>
    <col min="12550" max="12550" width="10.5703125" style="23" customWidth="1"/>
    <col min="12551" max="12551" width="10.7109375" style="23" customWidth="1"/>
    <col min="12552" max="12558" width="11.42578125" style="23"/>
    <col min="12559" max="12559" width="13.85546875" style="23" customWidth="1"/>
    <col min="12560" max="12801" width="11.42578125" style="23"/>
    <col min="12802" max="12802" width="34.28515625" style="23" customWidth="1"/>
    <col min="12803" max="12803" width="12.5703125" style="23" customWidth="1"/>
    <col min="12804" max="12804" width="10.5703125" style="23" customWidth="1"/>
    <col min="12805" max="12805" width="12.5703125" style="23" customWidth="1"/>
    <col min="12806" max="12806" width="10.5703125" style="23" customWidth="1"/>
    <col min="12807" max="12807" width="10.7109375" style="23" customWidth="1"/>
    <col min="12808" max="12814" width="11.42578125" style="23"/>
    <col min="12815" max="12815" width="13.85546875" style="23" customWidth="1"/>
    <col min="12816" max="13057" width="11.42578125" style="23"/>
    <col min="13058" max="13058" width="34.28515625" style="23" customWidth="1"/>
    <col min="13059" max="13059" width="12.5703125" style="23" customWidth="1"/>
    <col min="13060" max="13060" width="10.5703125" style="23" customWidth="1"/>
    <col min="13061" max="13061" width="12.5703125" style="23" customWidth="1"/>
    <col min="13062" max="13062" width="10.5703125" style="23" customWidth="1"/>
    <col min="13063" max="13063" width="10.7109375" style="23" customWidth="1"/>
    <col min="13064" max="13070" width="11.42578125" style="23"/>
    <col min="13071" max="13071" width="13.85546875" style="23" customWidth="1"/>
    <col min="13072" max="13313" width="11.42578125" style="23"/>
    <col min="13314" max="13314" width="34.28515625" style="23" customWidth="1"/>
    <col min="13315" max="13315" width="12.5703125" style="23" customWidth="1"/>
    <col min="13316" max="13316" width="10.5703125" style="23" customWidth="1"/>
    <col min="13317" max="13317" width="12.5703125" style="23" customWidth="1"/>
    <col min="13318" max="13318" width="10.5703125" style="23" customWidth="1"/>
    <col min="13319" max="13319" width="10.7109375" style="23" customWidth="1"/>
    <col min="13320" max="13326" width="11.42578125" style="23"/>
    <col min="13327" max="13327" width="13.85546875" style="23" customWidth="1"/>
    <col min="13328" max="13569" width="11.42578125" style="23"/>
    <col min="13570" max="13570" width="34.28515625" style="23" customWidth="1"/>
    <col min="13571" max="13571" width="12.5703125" style="23" customWidth="1"/>
    <col min="13572" max="13572" width="10.5703125" style="23" customWidth="1"/>
    <col min="13573" max="13573" width="12.5703125" style="23" customWidth="1"/>
    <col min="13574" max="13574" width="10.5703125" style="23" customWidth="1"/>
    <col min="13575" max="13575" width="10.7109375" style="23" customWidth="1"/>
    <col min="13576" max="13582" width="11.42578125" style="23"/>
    <col min="13583" max="13583" width="13.85546875" style="23" customWidth="1"/>
    <col min="13584" max="13825" width="11.42578125" style="23"/>
    <col min="13826" max="13826" width="34.28515625" style="23" customWidth="1"/>
    <col min="13827" max="13827" width="12.5703125" style="23" customWidth="1"/>
    <col min="13828" max="13828" width="10.5703125" style="23" customWidth="1"/>
    <col min="13829" max="13829" width="12.5703125" style="23" customWidth="1"/>
    <col min="13830" max="13830" width="10.5703125" style="23" customWidth="1"/>
    <col min="13831" max="13831" width="10.7109375" style="23" customWidth="1"/>
    <col min="13832" max="13838" width="11.42578125" style="23"/>
    <col min="13839" max="13839" width="13.85546875" style="23" customWidth="1"/>
    <col min="13840" max="14081" width="11.42578125" style="23"/>
    <col min="14082" max="14082" width="34.28515625" style="23" customWidth="1"/>
    <col min="14083" max="14083" width="12.5703125" style="23" customWidth="1"/>
    <col min="14084" max="14084" width="10.5703125" style="23" customWidth="1"/>
    <col min="14085" max="14085" width="12.5703125" style="23" customWidth="1"/>
    <col min="14086" max="14086" width="10.5703125" style="23" customWidth="1"/>
    <col min="14087" max="14087" width="10.7109375" style="23" customWidth="1"/>
    <col min="14088" max="14094" width="11.42578125" style="23"/>
    <col min="14095" max="14095" width="13.85546875" style="23" customWidth="1"/>
    <col min="14096" max="14337" width="11.42578125" style="23"/>
    <col min="14338" max="14338" width="34.28515625" style="23" customWidth="1"/>
    <col min="14339" max="14339" width="12.5703125" style="23" customWidth="1"/>
    <col min="14340" max="14340" width="10.5703125" style="23" customWidth="1"/>
    <col min="14341" max="14341" width="12.5703125" style="23" customWidth="1"/>
    <col min="14342" max="14342" width="10.5703125" style="23" customWidth="1"/>
    <col min="14343" max="14343" width="10.7109375" style="23" customWidth="1"/>
    <col min="14344" max="14350" width="11.42578125" style="23"/>
    <col min="14351" max="14351" width="13.85546875" style="23" customWidth="1"/>
    <col min="14352" max="14593" width="11.42578125" style="23"/>
    <col min="14594" max="14594" width="34.28515625" style="23" customWidth="1"/>
    <col min="14595" max="14595" width="12.5703125" style="23" customWidth="1"/>
    <col min="14596" max="14596" width="10.5703125" style="23" customWidth="1"/>
    <col min="14597" max="14597" width="12.5703125" style="23" customWidth="1"/>
    <col min="14598" max="14598" width="10.5703125" style="23" customWidth="1"/>
    <col min="14599" max="14599" width="10.7109375" style="23" customWidth="1"/>
    <col min="14600" max="14606" width="11.42578125" style="23"/>
    <col min="14607" max="14607" width="13.85546875" style="23" customWidth="1"/>
    <col min="14608" max="14849" width="11.42578125" style="23"/>
    <col min="14850" max="14850" width="34.28515625" style="23" customWidth="1"/>
    <col min="14851" max="14851" width="12.5703125" style="23" customWidth="1"/>
    <col min="14852" max="14852" width="10.5703125" style="23" customWidth="1"/>
    <col min="14853" max="14853" width="12.5703125" style="23" customWidth="1"/>
    <col min="14854" max="14854" width="10.5703125" style="23" customWidth="1"/>
    <col min="14855" max="14855" width="10.7109375" style="23" customWidth="1"/>
    <col min="14856" max="14862" width="11.42578125" style="23"/>
    <col min="14863" max="14863" width="13.85546875" style="23" customWidth="1"/>
    <col min="14864" max="15105" width="11.42578125" style="23"/>
    <col min="15106" max="15106" width="34.28515625" style="23" customWidth="1"/>
    <col min="15107" max="15107" width="12.5703125" style="23" customWidth="1"/>
    <col min="15108" max="15108" width="10.5703125" style="23" customWidth="1"/>
    <col min="15109" max="15109" width="12.5703125" style="23" customWidth="1"/>
    <col min="15110" max="15110" width="10.5703125" style="23" customWidth="1"/>
    <col min="15111" max="15111" width="10.7109375" style="23" customWidth="1"/>
    <col min="15112" max="15118" width="11.42578125" style="23"/>
    <col min="15119" max="15119" width="13.85546875" style="23" customWidth="1"/>
    <col min="15120" max="15361" width="11.42578125" style="23"/>
    <col min="15362" max="15362" width="34.28515625" style="23" customWidth="1"/>
    <col min="15363" max="15363" width="12.5703125" style="23" customWidth="1"/>
    <col min="15364" max="15364" width="10.5703125" style="23" customWidth="1"/>
    <col min="15365" max="15365" width="12.5703125" style="23" customWidth="1"/>
    <col min="15366" max="15366" width="10.5703125" style="23" customWidth="1"/>
    <col min="15367" max="15367" width="10.7109375" style="23" customWidth="1"/>
    <col min="15368" max="15374" width="11.42578125" style="23"/>
    <col min="15375" max="15375" width="13.85546875" style="23" customWidth="1"/>
    <col min="15376" max="15617" width="11.42578125" style="23"/>
    <col min="15618" max="15618" width="34.28515625" style="23" customWidth="1"/>
    <col min="15619" max="15619" width="12.5703125" style="23" customWidth="1"/>
    <col min="15620" max="15620" width="10.5703125" style="23" customWidth="1"/>
    <col min="15621" max="15621" width="12.5703125" style="23" customWidth="1"/>
    <col min="15622" max="15622" width="10.5703125" style="23" customWidth="1"/>
    <col min="15623" max="15623" width="10.7109375" style="23" customWidth="1"/>
    <col min="15624" max="15630" width="11.42578125" style="23"/>
    <col min="15631" max="15631" width="13.85546875" style="23" customWidth="1"/>
    <col min="15632" max="15873" width="11.42578125" style="23"/>
    <col min="15874" max="15874" width="34.28515625" style="23" customWidth="1"/>
    <col min="15875" max="15875" width="12.5703125" style="23" customWidth="1"/>
    <col min="15876" max="15876" width="10.5703125" style="23" customWidth="1"/>
    <col min="15877" max="15877" width="12.5703125" style="23" customWidth="1"/>
    <col min="15878" max="15878" width="10.5703125" style="23" customWidth="1"/>
    <col min="15879" max="15879" width="10.7109375" style="23" customWidth="1"/>
    <col min="15880" max="15886" width="11.42578125" style="23"/>
    <col min="15887" max="15887" width="13.85546875" style="23" customWidth="1"/>
    <col min="15888" max="16129" width="11.42578125" style="23"/>
    <col min="16130" max="16130" width="34.28515625" style="23" customWidth="1"/>
    <col min="16131" max="16131" width="12.5703125" style="23" customWidth="1"/>
    <col min="16132" max="16132" width="10.5703125" style="23" customWidth="1"/>
    <col min="16133" max="16133" width="12.5703125" style="23" customWidth="1"/>
    <col min="16134" max="16134" width="10.5703125" style="23" customWidth="1"/>
    <col min="16135" max="16135" width="10.7109375" style="23" customWidth="1"/>
    <col min="16136" max="16142" width="11.42578125" style="23"/>
    <col min="16143" max="16143" width="13.85546875" style="23" customWidth="1"/>
    <col min="16144" max="16384" width="11.42578125" style="23"/>
  </cols>
  <sheetData>
    <row r="11" spans="2:7" ht="25.5" customHeight="1">
      <c r="B11" s="27" t="s">
        <v>232</v>
      </c>
      <c r="C11" s="28"/>
      <c r="D11" s="28"/>
      <c r="E11" s="28"/>
      <c r="F11" s="28"/>
      <c r="G11" s="29"/>
    </row>
    <row r="12" spans="2:7" ht="39.75" customHeight="1">
      <c r="B12" s="30" t="s">
        <v>26</v>
      </c>
      <c r="C12" s="329" t="str">
        <f>actualizaciones!A3</f>
        <v>acumulado julio 2009</v>
      </c>
      <c r="D12" s="330" t="s">
        <v>27</v>
      </c>
      <c r="E12" s="329" t="str">
        <f>actualizaciones!A2</f>
        <v xml:space="preserve">acumulado julio 2010 </v>
      </c>
      <c r="F12" s="330" t="s">
        <v>27</v>
      </c>
      <c r="G12" s="330" t="s">
        <v>28</v>
      </c>
    </row>
    <row r="13" spans="2:7">
      <c r="B13" s="98" t="s">
        <v>233</v>
      </c>
      <c r="C13" s="107"/>
      <c r="D13" s="107"/>
      <c r="E13" s="107"/>
      <c r="F13" s="107"/>
      <c r="G13" s="108"/>
    </row>
    <row r="14" spans="2:7">
      <c r="B14" s="101" t="s">
        <v>234</v>
      </c>
      <c r="C14" s="34">
        <f>GETPIVOTDATA("dato",'[1]tabla dinámica pernocta'!$A$6,"categoría","TOTAL","año",2009)</f>
        <v>7711663</v>
      </c>
      <c r="D14" s="35">
        <f>C14/C14</f>
        <v>1</v>
      </c>
      <c r="E14" s="34">
        <f>GETPIVOTDATA("dato",'[1]tabla dinámica pernocta'!$A$6,"categoría","TOTAL","año",2010)</f>
        <v>7698603</v>
      </c>
      <c r="F14" s="35">
        <f>E14/E14</f>
        <v>1</v>
      </c>
      <c r="G14" s="36">
        <f>(E14-C14)/C14</f>
        <v>-1.6935387347709566E-3</v>
      </c>
    </row>
    <row r="15" spans="2:7">
      <c r="B15" s="111" t="s">
        <v>235</v>
      </c>
      <c r="C15" s="38">
        <f>GETPIVOTDATA("dato",'[1]tabla dinámica pernocta'!$A$6,"categoría","Hoteleros","año",2009)</f>
        <v>4759902</v>
      </c>
      <c r="D15" s="39">
        <f>C15/C14</f>
        <v>0.61723418152478915</v>
      </c>
      <c r="E15" s="38">
        <f>GETPIVOTDATA("dato",'[1]tabla dinámica pernocta'!$A$6,"categoría","Hoteleros","año",2010)</f>
        <v>4862858</v>
      </c>
      <c r="F15" s="39">
        <f>E15/E14</f>
        <v>0.63165460019174913</v>
      </c>
      <c r="G15" s="40">
        <f>(E15-C15)/C15</f>
        <v>2.1629857085292931E-2</v>
      </c>
    </row>
    <row r="16" spans="2:7">
      <c r="B16" s="331" t="s">
        <v>236</v>
      </c>
      <c r="C16" s="112">
        <f>GETPIVOTDATA("dato",'[1]tabla dinámica pernocta'!$A$6,"categoría","Extrahoteleros","año",2009)</f>
        <v>2951761</v>
      </c>
      <c r="D16" s="41">
        <f>C16/C14</f>
        <v>0.38276581847521085</v>
      </c>
      <c r="E16" s="112">
        <f>GETPIVOTDATA("dato",'[1]tabla dinámica pernocta'!$A$6,"categoría","Extrahoteleros","año",2010)</f>
        <v>2835745</v>
      </c>
      <c r="F16" s="41">
        <f>E16/E14</f>
        <v>0.36834539980825093</v>
      </c>
      <c r="G16" s="332">
        <f>(E16-C16)/C16</f>
        <v>-3.9303995140527979E-2</v>
      </c>
    </row>
    <row r="17" spans="2:11">
      <c r="B17" s="42" t="s">
        <v>90</v>
      </c>
      <c r="C17" s="43"/>
      <c r="D17" s="43"/>
      <c r="E17" s="43"/>
      <c r="F17" s="43"/>
      <c r="G17" s="44"/>
    </row>
    <row r="28" spans="2:11">
      <c r="B28" s="46"/>
      <c r="C28" s="46"/>
      <c r="D28" s="46"/>
      <c r="E28" s="46"/>
      <c r="F28" s="46"/>
      <c r="G28" s="46"/>
      <c r="H28" s="46"/>
      <c r="I28" s="46"/>
      <c r="J28" s="46"/>
      <c r="K28" s="46"/>
    </row>
  </sheetData>
  <mergeCells count="1">
    <mergeCell ref="B11:G1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colBreaks count="1" manualBreakCount="1">
    <brk id="7" min="10" max="51" man="1"/>
  </colBreaks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7:L27"/>
  <sheetViews>
    <sheetView showGridLines="0" showRowColHeaders="0" showOutlineSymbols="0" zoomScaleNormal="100" workbookViewId="0">
      <selection activeCell="B25" sqref="B25"/>
    </sheetView>
  </sheetViews>
  <sheetFormatPr baseColWidth="10" defaultRowHeight="12.75"/>
  <cols>
    <col min="1" max="1" width="11.42578125" style="23"/>
    <col min="2" max="2" width="28.85546875" style="23" customWidth="1"/>
    <col min="3" max="7" width="11.7109375" style="23" customWidth="1"/>
    <col min="8" max="8" width="10.7109375" style="23" customWidth="1"/>
    <col min="9" max="15" width="11.42578125" style="23"/>
    <col min="16" max="16" width="13.85546875" style="23" customWidth="1"/>
    <col min="17" max="257" width="11.42578125" style="23"/>
    <col min="258" max="258" width="28.85546875" style="23" customWidth="1"/>
    <col min="259" max="263" width="11.7109375" style="23" customWidth="1"/>
    <col min="264" max="264" width="10.7109375" style="23" customWidth="1"/>
    <col min="265" max="271" width="11.42578125" style="23"/>
    <col min="272" max="272" width="13.85546875" style="23" customWidth="1"/>
    <col min="273" max="513" width="11.42578125" style="23"/>
    <col min="514" max="514" width="28.85546875" style="23" customWidth="1"/>
    <col min="515" max="519" width="11.7109375" style="23" customWidth="1"/>
    <col min="520" max="520" width="10.7109375" style="23" customWidth="1"/>
    <col min="521" max="527" width="11.42578125" style="23"/>
    <col min="528" max="528" width="13.85546875" style="23" customWidth="1"/>
    <col min="529" max="769" width="11.42578125" style="23"/>
    <col min="770" max="770" width="28.85546875" style="23" customWidth="1"/>
    <col min="771" max="775" width="11.7109375" style="23" customWidth="1"/>
    <col min="776" max="776" width="10.7109375" style="23" customWidth="1"/>
    <col min="777" max="783" width="11.42578125" style="23"/>
    <col min="784" max="784" width="13.85546875" style="23" customWidth="1"/>
    <col min="785" max="1025" width="11.42578125" style="23"/>
    <col min="1026" max="1026" width="28.85546875" style="23" customWidth="1"/>
    <col min="1027" max="1031" width="11.7109375" style="23" customWidth="1"/>
    <col min="1032" max="1032" width="10.7109375" style="23" customWidth="1"/>
    <col min="1033" max="1039" width="11.42578125" style="23"/>
    <col min="1040" max="1040" width="13.85546875" style="23" customWidth="1"/>
    <col min="1041" max="1281" width="11.42578125" style="23"/>
    <col min="1282" max="1282" width="28.85546875" style="23" customWidth="1"/>
    <col min="1283" max="1287" width="11.7109375" style="23" customWidth="1"/>
    <col min="1288" max="1288" width="10.7109375" style="23" customWidth="1"/>
    <col min="1289" max="1295" width="11.42578125" style="23"/>
    <col min="1296" max="1296" width="13.85546875" style="23" customWidth="1"/>
    <col min="1297" max="1537" width="11.42578125" style="23"/>
    <col min="1538" max="1538" width="28.85546875" style="23" customWidth="1"/>
    <col min="1539" max="1543" width="11.7109375" style="23" customWidth="1"/>
    <col min="1544" max="1544" width="10.7109375" style="23" customWidth="1"/>
    <col min="1545" max="1551" width="11.42578125" style="23"/>
    <col min="1552" max="1552" width="13.85546875" style="23" customWidth="1"/>
    <col min="1553" max="1793" width="11.42578125" style="23"/>
    <col min="1794" max="1794" width="28.85546875" style="23" customWidth="1"/>
    <col min="1795" max="1799" width="11.7109375" style="23" customWidth="1"/>
    <col min="1800" max="1800" width="10.7109375" style="23" customWidth="1"/>
    <col min="1801" max="1807" width="11.42578125" style="23"/>
    <col min="1808" max="1808" width="13.85546875" style="23" customWidth="1"/>
    <col min="1809" max="2049" width="11.42578125" style="23"/>
    <col min="2050" max="2050" width="28.85546875" style="23" customWidth="1"/>
    <col min="2051" max="2055" width="11.7109375" style="23" customWidth="1"/>
    <col min="2056" max="2056" width="10.7109375" style="23" customWidth="1"/>
    <col min="2057" max="2063" width="11.42578125" style="23"/>
    <col min="2064" max="2064" width="13.85546875" style="23" customWidth="1"/>
    <col min="2065" max="2305" width="11.42578125" style="23"/>
    <col min="2306" max="2306" width="28.85546875" style="23" customWidth="1"/>
    <col min="2307" max="2311" width="11.7109375" style="23" customWidth="1"/>
    <col min="2312" max="2312" width="10.7109375" style="23" customWidth="1"/>
    <col min="2313" max="2319" width="11.42578125" style="23"/>
    <col min="2320" max="2320" width="13.85546875" style="23" customWidth="1"/>
    <col min="2321" max="2561" width="11.42578125" style="23"/>
    <col min="2562" max="2562" width="28.85546875" style="23" customWidth="1"/>
    <col min="2563" max="2567" width="11.7109375" style="23" customWidth="1"/>
    <col min="2568" max="2568" width="10.7109375" style="23" customWidth="1"/>
    <col min="2569" max="2575" width="11.42578125" style="23"/>
    <col min="2576" max="2576" width="13.85546875" style="23" customWidth="1"/>
    <col min="2577" max="2817" width="11.42578125" style="23"/>
    <col min="2818" max="2818" width="28.85546875" style="23" customWidth="1"/>
    <col min="2819" max="2823" width="11.7109375" style="23" customWidth="1"/>
    <col min="2824" max="2824" width="10.7109375" style="23" customWidth="1"/>
    <col min="2825" max="2831" width="11.42578125" style="23"/>
    <col min="2832" max="2832" width="13.85546875" style="23" customWidth="1"/>
    <col min="2833" max="3073" width="11.42578125" style="23"/>
    <col min="3074" max="3074" width="28.85546875" style="23" customWidth="1"/>
    <col min="3075" max="3079" width="11.7109375" style="23" customWidth="1"/>
    <col min="3080" max="3080" width="10.7109375" style="23" customWidth="1"/>
    <col min="3081" max="3087" width="11.42578125" style="23"/>
    <col min="3088" max="3088" width="13.85546875" style="23" customWidth="1"/>
    <col min="3089" max="3329" width="11.42578125" style="23"/>
    <col min="3330" max="3330" width="28.85546875" style="23" customWidth="1"/>
    <col min="3331" max="3335" width="11.7109375" style="23" customWidth="1"/>
    <col min="3336" max="3336" width="10.7109375" style="23" customWidth="1"/>
    <col min="3337" max="3343" width="11.42578125" style="23"/>
    <col min="3344" max="3344" width="13.85546875" style="23" customWidth="1"/>
    <col min="3345" max="3585" width="11.42578125" style="23"/>
    <col min="3586" max="3586" width="28.85546875" style="23" customWidth="1"/>
    <col min="3587" max="3591" width="11.7109375" style="23" customWidth="1"/>
    <col min="3592" max="3592" width="10.7109375" style="23" customWidth="1"/>
    <col min="3593" max="3599" width="11.42578125" style="23"/>
    <col min="3600" max="3600" width="13.85546875" style="23" customWidth="1"/>
    <col min="3601" max="3841" width="11.42578125" style="23"/>
    <col min="3842" max="3842" width="28.85546875" style="23" customWidth="1"/>
    <col min="3843" max="3847" width="11.7109375" style="23" customWidth="1"/>
    <col min="3848" max="3848" width="10.7109375" style="23" customWidth="1"/>
    <col min="3849" max="3855" width="11.42578125" style="23"/>
    <col min="3856" max="3856" width="13.85546875" style="23" customWidth="1"/>
    <col min="3857" max="4097" width="11.42578125" style="23"/>
    <col min="4098" max="4098" width="28.85546875" style="23" customWidth="1"/>
    <col min="4099" max="4103" width="11.7109375" style="23" customWidth="1"/>
    <col min="4104" max="4104" width="10.7109375" style="23" customWidth="1"/>
    <col min="4105" max="4111" width="11.42578125" style="23"/>
    <col min="4112" max="4112" width="13.85546875" style="23" customWidth="1"/>
    <col min="4113" max="4353" width="11.42578125" style="23"/>
    <col min="4354" max="4354" width="28.85546875" style="23" customWidth="1"/>
    <col min="4355" max="4359" width="11.7109375" style="23" customWidth="1"/>
    <col min="4360" max="4360" width="10.7109375" style="23" customWidth="1"/>
    <col min="4361" max="4367" width="11.42578125" style="23"/>
    <col min="4368" max="4368" width="13.85546875" style="23" customWidth="1"/>
    <col min="4369" max="4609" width="11.42578125" style="23"/>
    <col min="4610" max="4610" width="28.85546875" style="23" customWidth="1"/>
    <col min="4611" max="4615" width="11.7109375" style="23" customWidth="1"/>
    <col min="4616" max="4616" width="10.7109375" style="23" customWidth="1"/>
    <col min="4617" max="4623" width="11.42578125" style="23"/>
    <col min="4624" max="4624" width="13.85546875" style="23" customWidth="1"/>
    <col min="4625" max="4865" width="11.42578125" style="23"/>
    <col min="4866" max="4866" width="28.85546875" style="23" customWidth="1"/>
    <col min="4867" max="4871" width="11.7109375" style="23" customWidth="1"/>
    <col min="4872" max="4872" width="10.7109375" style="23" customWidth="1"/>
    <col min="4873" max="4879" width="11.42578125" style="23"/>
    <col min="4880" max="4880" width="13.85546875" style="23" customWidth="1"/>
    <col min="4881" max="5121" width="11.42578125" style="23"/>
    <col min="5122" max="5122" width="28.85546875" style="23" customWidth="1"/>
    <col min="5123" max="5127" width="11.7109375" style="23" customWidth="1"/>
    <col min="5128" max="5128" width="10.7109375" style="23" customWidth="1"/>
    <col min="5129" max="5135" width="11.42578125" style="23"/>
    <col min="5136" max="5136" width="13.85546875" style="23" customWidth="1"/>
    <col min="5137" max="5377" width="11.42578125" style="23"/>
    <col min="5378" max="5378" width="28.85546875" style="23" customWidth="1"/>
    <col min="5379" max="5383" width="11.7109375" style="23" customWidth="1"/>
    <col min="5384" max="5384" width="10.7109375" style="23" customWidth="1"/>
    <col min="5385" max="5391" width="11.42578125" style="23"/>
    <col min="5392" max="5392" width="13.85546875" style="23" customWidth="1"/>
    <col min="5393" max="5633" width="11.42578125" style="23"/>
    <col min="5634" max="5634" width="28.85546875" style="23" customWidth="1"/>
    <col min="5635" max="5639" width="11.7109375" style="23" customWidth="1"/>
    <col min="5640" max="5640" width="10.7109375" style="23" customWidth="1"/>
    <col min="5641" max="5647" width="11.42578125" style="23"/>
    <col min="5648" max="5648" width="13.85546875" style="23" customWidth="1"/>
    <col min="5649" max="5889" width="11.42578125" style="23"/>
    <col min="5890" max="5890" width="28.85546875" style="23" customWidth="1"/>
    <col min="5891" max="5895" width="11.7109375" style="23" customWidth="1"/>
    <col min="5896" max="5896" width="10.7109375" style="23" customWidth="1"/>
    <col min="5897" max="5903" width="11.42578125" style="23"/>
    <col min="5904" max="5904" width="13.85546875" style="23" customWidth="1"/>
    <col min="5905" max="6145" width="11.42578125" style="23"/>
    <col min="6146" max="6146" width="28.85546875" style="23" customWidth="1"/>
    <col min="6147" max="6151" width="11.7109375" style="23" customWidth="1"/>
    <col min="6152" max="6152" width="10.7109375" style="23" customWidth="1"/>
    <col min="6153" max="6159" width="11.42578125" style="23"/>
    <col min="6160" max="6160" width="13.85546875" style="23" customWidth="1"/>
    <col min="6161" max="6401" width="11.42578125" style="23"/>
    <col min="6402" max="6402" width="28.85546875" style="23" customWidth="1"/>
    <col min="6403" max="6407" width="11.7109375" style="23" customWidth="1"/>
    <col min="6408" max="6408" width="10.7109375" style="23" customWidth="1"/>
    <col min="6409" max="6415" width="11.42578125" style="23"/>
    <col min="6416" max="6416" width="13.85546875" style="23" customWidth="1"/>
    <col min="6417" max="6657" width="11.42578125" style="23"/>
    <col min="6658" max="6658" width="28.85546875" style="23" customWidth="1"/>
    <col min="6659" max="6663" width="11.7109375" style="23" customWidth="1"/>
    <col min="6664" max="6664" width="10.7109375" style="23" customWidth="1"/>
    <col min="6665" max="6671" width="11.42578125" style="23"/>
    <col min="6672" max="6672" width="13.85546875" style="23" customWidth="1"/>
    <col min="6673" max="6913" width="11.42578125" style="23"/>
    <col min="6914" max="6914" width="28.85546875" style="23" customWidth="1"/>
    <col min="6915" max="6919" width="11.7109375" style="23" customWidth="1"/>
    <col min="6920" max="6920" width="10.7109375" style="23" customWidth="1"/>
    <col min="6921" max="6927" width="11.42578125" style="23"/>
    <col min="6928" max="6928" width="13.85546875" style="23" customWidth="1"/>
    <col min="6929" max="7169" width="11.42578125" style="23"/>
    <col min="7170" max="7170" width="28.85546875" style="23" customWidth="1"/>
    <col min="7171" max="7175" width="11.7109375" style="23" customWidth="1"/>
    <col min="7176" max="7176" width="10.7109375" style="23" customWidth="1"/>
    <col min="7177" max="7183" width="11.42578125" style="23"/>
    <col min="7184" max="7184" width="13.85546875" style="23" customWidth="1"/>
    <col min="7185" max="7425" width="11.42578125" style="23"/>
    <col min="7426" max="7426" width="28.85546875" style="23" customWidth="1"/>
    <col min="7427" max="7431" width="11.7109375" style="23" customWidth="1"/>
    <col min="7432" max="7432" width="10.7109375" style="23" customWidth="1"/>
    <col min="7433" max="7439" width="11.42578125" style="23"/>
    <col min="7440" max="7440" width="13.85546875" style="23" customWidth="1"/>
    <col min="7441" max="7681" width="11.42578125" style="23"/>
    <col min="7682" max="7682" width="28.85546875" style="23" customWidth="1"/>
    <col min="7683" max="7687" width="11.7109375" style="23" customWidth="1"/>
    <col min="7688" max="7688" width="10.7109375" style="23" customWidth="1"/>
    <col min="7689" max="7695" width="11.42578125" style="23"/>
    <col min="7696" max="7696" width="13.85546875" style="23" customWidth="1"/>
    <col min="7697" max="7937" width="11.42578125" style="23"/>
    <col min="7938" max="7938" width="28.85546875" style="23" customWidth="1"/>
    <col min="7939" max="7943" width="11.7109375" style="23" customWidth="1"/>
    <col min="7944" max="7944" width="10.7109375" style="23" customWidth="1"/>
    <col min="7945" max="7951" width="11.42578125" style="23"/>
    <col min="7952" max="7952" width="13.85546875" style="23" customWidth="1"/>
    <col min="7953" max="8193" width="11.42578125" style="23"/>
    <col min="8194" max="8194" width="28.85546875" style="23" customWidth="1"/>
    <col min="8195" max="8199" width="11.7109375" style="23" customWidth="1"/>
    <col min="8200" max="8200" width="10.7109375" style="23" customWidth="1"/>
    <col min="8201" max="8207" width="11.42578125" style="23"/>
    <col min="8208" max="8208" width="13.85546875" style="23" customWidth="1"/>
    <col min="8209" max="8449" width="11.42578125" style="23"/>
    <col min="8450" max="8450" width="28.85546875" style="23" customWidth="1"/>
    <col min="8451" max="8455" width="11.7109375" style="23" customWidth="1"/>
    <col min="8456" max="8456" width="10.7109375" style="23" customWidth="1"/>
    <col min="8457" max="8463" width="11.42578125" style="23"/>
    <col min="8464" max="8464" width="13.85546875" style="23" customWidth="1"/>
    <col min="8465" max="8705" width="11.42578125" style="23"/>
    <col min="8706" max="8706" width="28.85546875" style="23" customWidth="1"/>
    <col min="8707" max="8711" width="11.7109375" style="23" customWidth="1"/>
    <col min="8712" max="8712" width="10.7109375" style="23" customWidth="1"/>
    <col min="8713" max="8719" width="11.42578125" style="23"/>
    <col min="8720" max="8720" width="13.85546875" style="23" customWidth="1"/>
    <col min="8721" max="8961" width="11.42578125" style="23"/>
    <col min="8962" max="8962" width="28.85546875" style="23" customWidth="1"/>
    <col min="8963" max="8967" width="11.7109375" style="23" customWidth="1"/>
    <col min="8968" max="8968" width="10.7109375" style="23" customWidth="1"/>
    <col min="8969" max="8975" width="11.42578125" style="23"/>
    <col min="8976" max="8976" width="13.85546875" style="23" customWidth="1"/>
    <col min="8977" max="9217" width="11.42578125" style="23"/>
    <col min="9218" max="9218" width="28.85546875" style="23" customWidth="1"/>
    <col min="9219" max="9223" width="11.7109375" style="23" customWidth="1"/>
    <col min="9224" max="9224" width="10.7109375" style="23" customWidth="1"/>
    <col min="9225" max="9231" width="11.42578125" style="23"/>
    <col min="9232" max="9232" width="13.85546875" style="23" customWidth="1"/>
    <col min="9233" max="9473" width="11.42578125" style="23"/>
    <col min="9474" max="9474" width="28.85546875" style="23" customWidth="1"/>
    <col min="9475" max="9479" width="11.7109375" style="23" customWidth="1"/>
    <col min="9480" max="9480" width="10.7109375" style="23" customWidth="1"/>
    <col min="9481" max="9487" width="11.42578125" style="23"/>
    <col min="9488" max="9488" width="13.85546875" style="23" customWidth="1"/>
    <col min="9489" max="9729" width="11.42578125" style="23"/>
    <col min="9730" max="9730" width="28.85546875" style="23" customWidth="1"/>
    <col min="9731" max="9735" width="11.7109375" style="23" customWidth="1"/>
    <col min="9736" max="9736" width="10.7109375" style="23" customWidth="1"/>
    <col min="9737" max="9743" width="11.42578125" style="23"/>
    <col min="9744" max="9744" width="13.85546875" style="23" customWidth="1"/>
    <col min="9745" max="9985" width="11.42578125" style="23"/>
    <col min="9986" max="9986" width="28.85546875" style="23" customWidth="1"/>
    <col min="9987" max="9991" width="11.7109375" style="23" customWidth="1"/>
    <col min="9992" max="9992" width="10.7109375" style="23" customWidth="1"/>
    <col min="9993" max="9999" width="11.42578125" style="23"/>
    <col min="10000" max="10000" width="13.85546875" style="23" customWidth="1"/>
    <col min="10001" max="10241" width="11.42578125" style="23"/>
    <col min="10242" max="10242" width="28.85546875" style="23" customWidth="1"/>
    <col min="10243" max="10247" width="11.7109375" style="23" customWidth="1"/>
    <col min="10248" max="10248" width="10.7109375" style="23" customWidth="1"/>
    <col min="10249" max="10255" width="11.42578125" style="23"/>
    <col min="10256" max="10256" width="13.85546875" style="23" customWidth="1"/>
    <col min="10257" max="10497" width="11.42578125" style="23"/>
    <col min="10498" max="10498" width="28.85546875" style="23" customWidth="1"/>
    <col min="10499" max="10503" width="11.7109375" style="23" customWidth="1"/>
    <col min="10504" max="10504" width="10.7109375" style="23" customWidth="1"/>
    <col min="10505" max="10511" width="11.42578125" style="23"/>
    <col min="10512" max="10512" width="13.85546875" style="23" customWidth="1"/>
    <col min="10513" max="10753" width="11.42578125" style="23"/>
    <col min="10754" max="10754" width="28.85546875" style="23" customWidth="1"/>
    <col min="10755" max="10759" width="11.7109375" style="23" customWidth="1"/>
    <col min="10760" max="10760" width="10.7109375" style="23" customWidth="1"/>
    <col min="10761" max="10767" width="11.42578125" style="23"/>
    <col min="10768" max="10768" width="13.85546875" style="23" customWidth="1"/>
    <col min="10769" max="11009" width="11.42578125" style="23"/>
    <col min="11010" max="11010" width="28.85546875" style="23" customWidth="1"/>
    <col min="11011" max="11015" width="11.7109375" style="23" customWidth="1"/>
    <col min="11016" max="11016" width="10.7109375" style="23" customWidth="1"/>
    <col min="11017" max="11023" width="11.42578125" style="23"/>
    <col min="11024" max="11024" width="13.85546875" style="23" customWidth="1"/>
    <col min="11025" max="11265" width="11.42578125" style="23"/>
    <col min="11266" max="11266" width="28.85546875" style="23" customWidth="1"/>
    <col min="11267" max="11271" width="11.7109375" style="23" customWidth="1"/>
    <col min="11272" max="11272" width="10.7109375" style="23" customWidth="1"/>
    <col min="11273" max="11279" width="11.42578125" style="23"/>
    <col min="11280" max="11280" width="13.85546875" style="23" customWidth="1"/>
    <col min="11281" max="11521" width="11.42578125" style="23"/>
    <col min="11522" max="11522" width="28.85546875" style="23" customWidth="1"/>
    <col min="11523" max="11527" width="11.7109375" style="23" customWidth="1"/>
    <col min="11528" max="11528" width="10.7109375" style="23" customWidth="1"/>
    <col min="11529" max="11535" width="11.42578125" style="23"/>
    <col min="11536" max="11536" width="13.85546875" style="23" customWidth="1"/>
    <col min="11537" max="11777" width="11.42578125" style="23"/>
    <col min="11778" max="11778" width="28.85546875" style="23" customWidth="1"/>
    <col min="11779" max="11783" width="11.7109375" style="23" customWidth="1"/>
    <col min="11784" max="11784" width="10.7109375" style="23" customWidth="1"/>
    <col min="11785" max="11791" width="11.42578125" style="23"/>
    <col min="11792" max="11792" width="13.85546875" style="23" customWidth="1"/>
    <col min="11793" max="12033" width="11.42578125" style="23"/>
    <col min="12034" max="12034" width="28.85546875" style="23" customWidth="1"/>
    <col min="12035" max="12039" width="11.7109375" style="23" customWidth="1"/>
    <col min="12040" max="12040" width="10.7109375" style="23" customWidth="1"/>
    <col min="12041" max="12047" width="11.42578125" style="23"/>
    <col min="12048" max="12048" width="13.85546875" style="23" customWidth="1"/>
    <col min="12049" max="12289" width="11.42578125" style="23"/>
    <col min="12290" max="12290" width="28.85546875" style="23" customWidth="1"/>
    <col min="12291" max="12295" width="11.7109375" style="23" customWidth="1"/>
    <col min="12296" max="12296" width="10.7109375" style="23" customWidth="1"/>
    <col min="12297" max="12303" width="11.42578125" style="23"/>
    <col min="12304" max="12304" width="13.85546875" style="23" customWidth="1"/>
    <col min="12305" max="12545" width="11.42578125" style="23"/>
    <col min="12546" max="12546" width="28.85546875" style="23" customWidth="1"/>
    <col min="12547" max="12551" width="11.7109375" style="23" customWidth="1"/>
    <col min="12552" max="12552" width="10.7109375" style="23" customWidth="1"/>
    <col min="12553" max="12559" width="11.42578125" style="23"/>
    <col min="12560" max="12560" width="13.85546875" style="23" customWidth="1"/>
    <col min="12561" max="12801" width="11.42578125" style="23"/>
    <col min="12802" max="12802" width="28.85546875" style="23" customWidth="1"/>
    <col min="12803" max="12807" width="11.7109375" style="23" customWidth="1"/>
    <col min="12808" max="12808" width="10.7109375" style="23" customWidth="1"/>
    <col min="12809" max="12815" width="11.42578125" style="23"/>
    <col min="12816" max="12816" width="13.85546875" style="23" customWidth="1"/>
    <col min="12817" max="13057" width="11.42578125" style="23"/>
    <col min="13058" max="13058" width="28.85546875" style="23" customWidth="1"/>
    <col min="13059" max="13063" width="11.7109375" style="23" customWidth="1"/>
    <col min="13064" max="13064" width="10.7109375" style="23" customWidth="1"/>
    <col min="13065" max="13071" width="11.42578125" style="23"/>
    <col min="13072" max="13072" width="13.85546875" style="23" customWidth="1"/>
    <col min="13073" max="13313" width="11.42578125" style="23"/>
    <col min="13314" max="13314" width="28.85546875" style="23" customWidth="1"/>
    <col min="13315" max="13319" width="11.7109375" style="23" customWidth="1"/>
    <col min="13320" max="13320" width="10.7109375" style="23" customWidth="1"/>
    <col min="13321" max="13327" width="11.42578125" style="23"/>
    <col min="13328" max="13328" width="13.85546875" style="23" customWidth="1"/>
    <col min="13329" max="13569" width="11.42578125" style="23"/>
    <col min="13570" max="13570" width="28.85546875" style="23" customWidth="1"/>
    <col min="13571" max="13575" width="11.7109375" style="23" customWidth="1"/>
    <col min="13576" max="13576" width="10.7109375" style="23" customWidth="1"/>
    <col min="13577" max="13583" width="11.42578125" style="23"/>
    <col min="13584" max="13584" width="13.85546875" style="23" customWidth="1"/>
    <col min="13585" max="13825" width="11.42578125" style="23"/>
    <col min="13826" max="13826" width="28.85546875" style="23" customWidth="1"/>
    <col min="13827" max="13831" width="11.7109375" style="23" customWidth="1"/>
    <col min="13832" max="13832" width="10.7109375" style="23" customWidth="1"/>
    <col min="13833" max="13839" width="11.42578125" style="23"/>
    <col min="13840" max="13840" width="13.85546875" style="23" customWidth="1"/>
    <col min="13841" max="14081" width="11.42578125" style="23"/>
    <col min="14082" max="14082" width="28.85546875" style="23" customWidth="1"/>
    <col min="14083" max="14087" width="11.7109375" style="23" customWidth="1"/>
    <col min="14088" max="14088" width="10.7109375" style="23" customWidth="1"/>
    <col min="14089" max="14095" width="11.42578125" style="23"/>
    <col min="14096" max="14096" width="13.85546875" style="23" customWidth="1"/>
    <col min="14097" max="14337" width="11.42578125" style="23"/>
    <col min="14338" max="14338" width="28.85546875" style="23" customWidth="1"/>
    <col min="14339" max="14343" width="11.7109375" style="23" customWidth="1"/>
    <col min="14344" max="14344" width="10.7109375" style="23" customWidth="1"/>
    <col min="14345" max="14351" width="11.42578125" style="23"/>
    <col min="14352" max="14352" width="13.85546875" style="23" customWidth="1"/>
    <col min="14353" max="14593" width="11.42578125" style="23"/>
    <col min="14594" max="14594" width="28.85546875" style="23" customWidth="1"/>
    <col min="14595" max="14599" width="11.7109375" style="23" customWidth="1"/>
    <col min="14600" max="14600" width="10.7109375" style="23" customWidth="1"/>
    <col min="14601" max="14607" width="11.42578125" style="23"/>
    <col min="14608" max="14608" width="13.85546875" style="23" customWidth="1"/>
    <col min="14609" max="14849" width="11.42578125" style="23"/>
    <col min="14850" max="14850" width="28.85546875" style="23" customWidth="1"/>
    <col min="14851" max="14855" width="11.7109375" style="23" customWidth="1"/>
    <col min="14856" max="14856" width="10.7109375" style="23" customWidth="1"/>
    <col min="14857" max="14863" width="11.42578125" style="23"/>
    <col min="14864" max="14864" width="13.85546875" style="23" customWidth="1"/>
    <col min="14865" max="15105" width="11.42578125" style="23"/>
    <col min="15106" max="15106" width="28.85546875" style="23" customWidth="1"/>
    <col min="15107" max="15111" width="11.7109375" style="23" customWidth="1"/>
    <col min="15112" max="15112" width="10.7109375" style="23" customWidth="1"/>
    <col min="15113" max="15119" width="11.42578125" style="23"/>
    <col min="15120" max="15120" width="13.85546875" style="23" customWidth="1"/>
    <col min="15121" max="15361" width="11.42578125" style="23"/>
    <col min="15362" max="15362" width="28.85546875" style="23" customWidth="1"/>
    <col min="15363" max="15367" width="11.7109375" style="23" customWidth="1"/>
    <col min="15368" max="15368" width="10.7109375" style="23" customWidth="1"/>
    <col min="15369" max="15375" width="11.42578125" style="23"/>
    <col min="15376" max="15376" width="13.85546875" style="23" customWidth="1"/>
    <col min="15377" max="15617" width="11.42578125" style="23"/>
    <col min="15618" max="15618" width="28.85546875" style="23" customWidth="1"/>
    <col min="15619" max="15623" width="11.7109375" style="23" customWidth="1"/>
    <col min="15624" max="15624" width="10.7109375" style="23" customWidth="1"/>
    <col min="15625" max="15631" width="11.42578125" style="23"/>
    <col min="15632" max="15632" width="13.85546875" style="23" customWidth="1"/>
    <col min="15633" max="15873" width="11.42578125" style="23"/>
    <col min="15874" max="15874" width="28.85546875" style="23" customWidth="1"/>
    <col min="15875" max="15879" width="11.7109375" style="23" customWidth="1"/>
    <col min="15880" max="15880" width="10.7109375" style="23" customWidth="1"/>
    <col min="15881" max="15887" width="11.42578125" style="23"/>
    <col min="15888" max="15888" width="13.85546875" style="23" customWidth="1"/>
    <col min="15889" max="16129" width="11.42578125" style="23"/>
    <col min="16130" max="16130" width="28.85546875" style="23" customWidth="1"/>
    <col min="16131" max="16135" width="11.7109375" style="23" customWidth="1"/>
    <col min="16136" max="16136" width="10.7109375" style="23" customWidth="1"/>
    <col min="16137" max="16143" width="11.42578125" style="23"/>
    <col min="16144" max="16144" width="13.85546875" style="23" customWidth="1"/>
    <col min="16145" max="16384" width="11.42578125" style="23"/>
  </cols>
  <sheetData>
    <row r="7" spans="2:7" ht="25.5" customHeight="1">
      <c r="B7" s="27" t="s">
        <v>237</v>
      </c>
      <c r="C7" s="28"/>
      <c r="D7" s="28"/>
      <c r="E7" s="28"/>
      <c r="F7" s="28"/>
      <c r="G7" s="29"/>
    </row>
    <row r="8" spans="2:7" ht="41.25" customHeight="1">
      <c r="B8" s="30" t="s">
        <v>238</v>
      </c>
      <c r="C8" s="31" t="str">
        <f>actualizaciones!A3</f>
        <v>acumulado julio 2009</v>
      </c>
      <c r="D8" s="32" t="s">
        <v>27</v>
      </c>
      <c r="E8" s="31" t="str">
        <f>actualizaciones!A2</f>
        <v xml:space="preserve">acumulado julio 2010 </v>
      </c>
      <c r="F8" s="32" t="s">
        <v>27</v>
      </c>
      <c r="G8" s="32" t="s">
        <v>28</v>
      </c>
    </row>
    <row r="9" spans="2:7">
      <c r="B9" s="98" t="s">
        <v>239</v>
      </c>
      <c r="C9" s="99"/>
      <c r="D9" s="99"/>
      <c r="E9" s="99"/>
      <c r="F9" s="99"/>
      <c r="G9" s="100"/>
    </row>
    <row r="10" spans="2:7">
      <c r="B10" s="103" t="s">
        <v>240</v>
      </c>
      <c r="C10" s="34">
        <f>GETPIVOTDATA("dato",'[1]tabla dinámica pernocta'!$A$6,"categoría","TOTAL","año",2009)</f>
        <v>7711663</v>
      </c>
      <c r="D10" s="35">
        <f>C10/$C$10</f>
        <v>1</v>
      </c>
      <c r="E10" s="34">
        <f>GETPIVOTDATA("dato",'[1]tabla dinámica pernocta'!$A$6,"categoría","TOTAL","año",2010)</f>
        <v>7698603</v>
      </c>
      <c r="F10" s="35">
        <f>E10/$E$10</f>
        <v>1</v>
      </c>
      <c r="G10" s="36">
        <f>(E10-C10)/C10</f>
        <v>-1.6935387347709566E-3</v>
      </c>
    </row>
    <row r="11" spans="2:7">
      <c r="B11" s="98" t="s">
        <v>241</v>
      </c>
      <c r="C11" s="107"/>
      <c r="D11" s="99"/>
      <c r="E11" s="107"/>
      <c r="F11" s="99"/>
      <c r="G11" s="108"/>
    </row>
    <row r="12" spans="2:7">
      <c r="B12" s="111" t="s">
        <v>242</v>
      </c>
      <c r="C12" s="333">
        <f>GETPIVOTDATA("dato",'[1]tabla dinámica pernocta'!$A$6,"categoría","Hoteleros","año",2009)</f>
        <v>4759902</v>
      </c>
      <c r="D12" s="110">
        <f>C12/$C$10</f>
        <v>0.61723418152478915</v>
      </c>
      <c r="E12" s="333">
        <f>GETPIVOTDATA("dato",'[1]tabla dinámica pernocta'!$A$6,"categoría","Hoteleros","año",2010)</f>
        <v>4862858</v>
      </c>
      <c r="F12" s="110">
        <f>E12/$E$10</f>
        <v>0.63165460019174913</v>
      </c>
      <c r="G12" s="334">
        <f>(E12-C12)/C12</f>
        <v>2.1629857085292931E-2</v>
      </c>
    </row>
    <row r="13" spans="2:7">
      <c r="B13" s="111" t="s">
        <v>243</v>
      </c>
      <c r="C13" s="335">
        <f>GETPIVOTDATA("dato",'[1]tabla dinámica pernocta'!$A$6,"categoría","5 *","año",2009)</f>
        <v>582693</v>
      </c>
      <c r="D13" s="39">
        <f>C13/$C$10</f>
        <v>7.5559966767219988E-2</v>
      </c>
      <c r="E13" s="335">
        <f>GETPIVOTDATA("dato",'[1]tabla dinámica pernocta'!$A$6,"categoría","5 *","año",2010)</f>
        <v>632980</v>
      </c>
      <c r="F13" s="39">
        <f>E13/$E$10</f>
        <v>8.2220111882636365E-2</v>
      </c>
      <c r="G13" s="113">
        <f>(E13-C13)/C13</f>
        <v>8.630101957634638E-2</v>
      </c>
    </row>
    <row r="14" spans="2:7">
      <c r="B14" s="111" t="s">
        <v>244</v>
      </c>
      <c r="C14" s="335">
        <f>GETPIVOTDATA("dato",'[1]tabla dinámica pernocta'!$A$6,"categoría","4 *","año",2009)</f>
        <v>3153691</v>
      </c>
      <c r="D14" s="39">
        <f>C14/$C$10</f>
        <v>0.40895083200601479</v>
      </c>
      <c r="E14" s="335">
        <f>GETPIVOTDATA("dato",'[1]tabla dinámica pernocta'!$A$6,"categoría","4 *","año",2010)</f>
        <v>3356200</v>
      </c>
      <c r="F14" s="39">
        <f>E14/$E$10</f>
        <v>0.43594922351496757</v>
      </c>
      <c r="G14" s="113">
        <f>(E14-C14)/C14</f>
        <v>6.4213329714293499E-2</v>
      </c>
    </row>
    <row r="15" spans="2:7">
      <c r="B15" s="111" t="s">
        <v>245</v>
      </c>
      <c r="C15" s="335">
        <f>GETPIVOTDATA("dato",'[1]tabla dinámica pernocta'!$A$6,"categoría","3 *","año",2009)</f>
        <v>954574</v>
      </c>
      <c r="D15" s="39">
        <f>C15/$C$10</f>
        <v>0.12378315805553225</v>
      </c>
      <c r="E15" s="335">
        <f>GETPIVOTDATA("dato",'[1]tabla dinámica pernocta'!$A$6,"categoría","3 *","año",2010)</f>
        <v>803958</v>
      </c>
      <c r="F15" s="39">
        <f>E15/$E$10</f>
        <v>0.10442907628825646</v>
      </c>
      <c r="G15" s="113">
        <f>(E15-C15)/C15</f>
        <v>-0.15778347199902784</v>
      </c>
    </row>
    <row r="16" spans="2:7">
      <c r="B16" s="111" t="s">
        <v>246</v>
      </c>
      <c r="C16" s="335">
        <f>GETPIVOTDATA("dato",'[1]tabla dinámica pernocta'!$A$6,"categoría","1* y 2 *","año",2009)</f>
        <v>68944</v>
      </c>
      <c r="D16" s="39">
        <f>C16/$C$10</f>
        <v>8.9402246960221168E-3</v>
      </c>
      <c r="E16" s="335">
        <f>GETPIVOTDATA("dato",'[1]tabla dinámica pernocta'!$A$6,"categoría","1* y 2 *","año",2010)</f>
        <v>69720</v>
      </c>
      <c r="F16" s="39">
        <f>E16/$E$10</f>
        <v>9.0561885058886658E-3</v>
      </c>
      <c r="G16" s="113">
        <f>(E16-C16)/C16</f>
        <v>1.1255511719656533E-2</v>
      </c>
    </row>
    <row r="17" spans="2:12">
      <c r="B17" s="98" t="s">
        <v>247</v>
      </c>
      <c r="C17" s="107"/>
      <c r="D17" s="336"/>
      <c r="E17" s="107"/>
      <c r="F17" s="336"/>
      <c r="G17" s="108"/>
    </row>
    <row r="18" spans="2:12">
      <c r="B18" s="337" t="s">
        <v>248</v>
      </c>
      <c r="C18" s="112">
        <f>GETPIVOTDATA("dato",'[1]tabla dinámica pernocta'!$A$6,"categoría","Extrahoteleros","año",2009)</f>
        <v>2951761</v>
      </c>
      <c r="D18" s="110">
        <f>C18/$C$10</f>
        <v>0.38276581847521085</v>
      </c>
      <c r="E18" s="112">
        <f>GETPIVOTDATA("dato",'[1]tabla dinámica pernocta'!$A$6,"categoría","Extrahoteleros","año",2010)</f>
        <v>2835745</v>
      </c>
      <c r="F18" s="110">
        <f>E18/$E$10</f>
        <v>0.36834539980825093</v>
      </c>
      <c r="G18" s="332">
        <f>(E18-C18)/C18</f>
        <v>-3.9303995140527979E-2</v>
      </c>
    </row>
    <row r="19" spans="2:12">
      <c r="B19" s="42" t="s">
        <v>90</v>
      </c>
      <c r="C19" s="43"/>
      <c r="D19" s="43"/>
      <c r="E19" s="43"/>
      <c r="F19" s="43"/>
      <c r="G19" s="44"/>
    </row>
    <row r="20" spans="2:12" ht="15" customHeight="1" thickBot="1"/>
    <row r="21" spans="2:12" ht="30" customHeight="1" thickBot="1">
      <c r="G21" s="60" t="s">
        <v>49</v>
      </c>
    </row>
    <row r="27" spans="2:12"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</row>
  </sheetData>
  <mergeCells count="1">
    <mergeCell ref="B7:G7"/>
  </mergeCells>
  <hyperlinks>
    <hyperlink ref="G21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5" sqref="B25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15" customHeight="1" thickBot="1"/>
    <row r="30" spans="2:12" ht="30" customHeight="1" thickBot="1">
      <c r="I30" s="60" t="s">
        <v>51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3:L73"/>
  <sheetViews>
    <sheetView showGridLines="0" showRowColHeaders="0" showZeros="0" zoomScaleNormal="100" workbookViewId="0">
      <selection activeCell="B25" sqref="B25"/>
    </sheetView>
  </sheetViews>
  <sheetFormatPr baseColWidth="10" defaultRowHeight="12.75" outlineLevelRow="1"/>
  <cols>
    <col min="1" max="1" width="13.7109375" style="339" customWidth="1"/>
    <col min="2" max="2" width="12.140625" style="339" customWidth="1"/>
    <col min="3" max="3" width="13.5703125" style="339" customWidth="1"/>
    <col min="4" max="18" width="11" style="339" customWidth="1"/>
    <col min="19" max="21" width="10.42578125" style="339" customWidth="1"/>
    <col min="22" max="25" width="9.28515625" style="339" customWidth="1"/>
    <col min="26" max="37" width="7.28515625" style="339" customWidth="1"/>
    <col min="38" max="38" width="11.5703125" style="339" bestFit="1" customWidth="1"/>
    <col min="39" max="258" width="11.42578125" style="339"/>
    <col min="259" max="259" width="13.7109375" style="339" customWidth="1"/>
    <col min="260" max="260" width="12.140625" style="339" customWidth="1"/>
    <col min="261" max="274" width="11" style="339" customWidth="1"/>
    <col min="275" max="277" width="10.42578125" style="339" customWidth="1"/>
    <col min="278" max="279" width="7.28515625" style="339" customWidth="1"/>
    <col min="280" max="280" width="7.85546875" style="339" bestFit="1" customWidth="1"/>
    <col min="281" max="293" width="7.28515625" style="339" customWidth="1"/>
    <col min="294" max="294" width="11.5703125" style="339" bestFit="1" customWidth="1"/>
    <col min="295" max="514" width="11.42578125" style="339"/>
    <col min="515" max="515" width="13.7109375" style="339" customWidth="1"/>
    <col min="516" max="516" width="12.140625" style="339" customWidth="1"/>
    <col min="517" max="530" width="11" style="339" customWidth="1"/>
    <col min="531" max="533" width="10.42578125" style="339" customWidth="1"/>
    <col min="534" max="535" width="7.28515625" style="339" customWidth="1"/>
    <col min="536" max="536" width="7.85546875" style="339" bestFit="1" customWidth="1"/>
    <col min="537" max="549" width="7.28515625" style="339" customWidth="1"/>
    <col min="550" max="550" width="11.5703125" style="339" bestFit="1" customWidth="1"/>
    <col min="551" max="770" width="11.42578125" style="339"/>
    <col min="771" max="771" width="13.7109375" style="339" customWidth="1"/>
    <col min="772" max="772" width="12.140625" style="339" customWidth="1"/>
    <col min="773" max="786" width="11" style="339" customWidth="1"/>
    <col min="787" max="789" width="10.42578125" style="339" customWidth="1"/>
    <col min="790" max="791" width="7.28515625" style="339" customWidth="1"/>
    <col min="792" max="792" width="7.85546875" style="339" bestFit="1" customWidth="1"/>
    <col min="793" max="805" width="7.28515625" style="339" customWidth="1"/>
    <col min="806" max="806" width="11.5703125" style="339" bestFit="1" customWidth="1"/>
    <col min="807" max="1026" width="11.42578125" style="339"/>
    <col min="1027" max="1027" width="13.7109375" style="339" customWidth="1"/>
    <col min="1028" max="1028" width="12.140625" style="339" customWidth="1"/>
    <col min="1029" max="1042" width="11" style="339" customWidth="1"/>
    <col min="1043" max="1045" width="10.42578125" style="339" customWidth="1"/>
    <col min="1046" max="1047" width="7.28515625" style="339" customWidth="1"/>
    <col min="1048" max="1048" width="7.85546875" style="339" bestFit="1" customWidth="1"/>
    <col min="1049" max="1061" width="7.28515625" style="339" customWidth="1"/>
    <col min="1062" max="1062" width="11.5703125" style="339" bestFit="1" customWidth="1"/>
    <col min="1063" max="1282" width="11.42578125" style="339"/>
    <col min="1283" max="1283" width="13.7109375" style="339" customWidth="1"/>
    <col min="1284" max="1284" width="12.140625" style="339" customWidth="1"/>
    <col min="1285" max="1298" width="11" style="339" customWidth="1"/>
    <col min="1299" max="1301" width="10.42578125" style="339" customWidth="1"/>
    <col min="1302" max="1303" width="7.28515625" style="339" customWidth="1"/>
    <col min="1304" max="1304" width="7.85546875" style="339" bestFit="1" customWidth="1"/>
    <col min="1305" max="1317" width="7.28515625" style="339" customWidth="1"/>
    <col min="1318" max="1318" width="11.5703125" style="339" bestFit="1" customWidth="1"/>
    <col min="1319" max="1538" width="11.42578125" style="339"/>
    <col min="1539" max="1539" width="13.7109375" style="339" customWidth="1"/>
    <col min="1540" max="1540" width="12.140625" style="339" customWidth="1"/>
    <col min="1541" max="1554" width="11" style="339" customWidth="1"/>
    <col min="1555" max="1557" width="10.42578125" style="339" customWidth="1"/>
    <col min="1558" max="1559" width="7.28515625" style="339" customWidth="1"/>
    <col min="1560" max="1560" width="7.85546875" style="339" bestFit="1" customWidth="1"/>
    <col min="1561" max="1573" width="7.28515625" style="339" customWidth="1"/>
    <col min="1574" max="1574" width="11.5703125" style="339" bestFit="1" customWidth="1"/>
    <col min="1575" max="1794" width="11.42578125" style="339"/>
    <col min="1795" max="1795" width="13.7109375" style="339" customWidth="1"/>
    <col min="1796" max="1796" width="12.140625" style="339" customWidth="1"/>
    <col min="1797" max="1810" width="11" style="339" customWidth="1"/>
    <col min="1811" max="1813" width="10.42578125" style="339" customWidth="1"/>
    <col min="1814" max="1815" width="7.28515625" style="339" customWidth="1"/>
    <col min="1816" max="1816" width="7.85546875" style="339" bestFit="1" customWidth="1"/>
    <col min="1817" max="1829" width="7.28515625" style="339" customWidth="1"/>
    <col min="1830" max="1830" width="11.5703125" style="339" bestFit="1" customWidth="1"/>
    <col min="1831" max="2050" width="11.42578125" style="339"/>
    <col min="2051" max="2051" width="13.7109375" style="339" customWidth="1"/>
    <col min="2052" max="2052" width="12.140625" style="339" customWidth="1"/>
    <col min="2053" max="2066" width="11" style="339" customWidth="1"/>
    <col min="2067" max="2069" width="10.42578125" style="339" customWidth="1"/>
    <col min="2070" max="2071" width="7.28515625" style="339" customWidth="1"/>
    <col min="2072" max="2072" width="7.85546875" style="339" bestFit="1" customWidth="1"/>
    <col min="2073" max="2085" width="7.28515625" style="339" customWidth="1"/>
    <col min="2086" max="2086" width="11.5703125" style="339" bestFit="1" customWidth="1"/>
    <col min="2087" max="2306" width="11.42578125" style="339"/>
    <col min="2307" max="2307" width="13.7109375" style="339" customWidth="1"/>
    <col min="2308" max="2308" width="12.140625" style="339" customWidth="1"/>
    <col min="2309" max="2322" width="11" style="339" customWidth="1"/>
    <col min="2323" max="2325" width="10.42578125" style="339" customWidth="1"/>
    <col min="2326" max="2327" width="7.28515625" style="339" customWidth="1"/>
    <col min="2328" max="2328" width="7.85546875" style="339" bestFit="1" customWidth="1"/>
    <col min="2329" max="2341" width="7.28515625" style="339" customWidth="1"/>
    <col min="2342" max="2342" width="11.5703125" style="339" bestFit="1" customWidth="1"/>
    <col min="2343" max="2562" width="11.42578125" style="339"/>
    <col min="2563" max="2563" width="13.7109375" style="339" customWidth="1"/>
    <col min="2564" max="2564" width="12.140625" style="339" customWidth="1"/>
    <col min="2565" max="2578" width="11" style="339" customWidth="1"/>
    <col min="2579" max="2581" width="10.42578125" style="339" customWidth="1"/>
    <col min="2582" max="2583" width="7.28515625" style="339" customWidth="1"/>
    <col min="2584" max="2584" width="7.85546875" style="339" bestFit="1" customWidth="1"/>
    <col min="2585" max="2597" width="7.28515625" style="339" customWidth="1"/>
    <col min="2598" max="2598" width="11.5703125" style="339" bestFit="1" customWidth="1"/>
    <col min="2599" max="2818" width="11.42578125" style="339"/>
    <col min="2819" max="2819" width="13.7109375" style="339" customWidth="1"/>
    <col min="2820" max="2820" width="12.140625" style="339" customWidth="1"/>
    <col min="2821" max="2834" width="11" style="339" customWidth="1"/>
    <col min="2835" max="2837" width="10.42578125" style="339" customWidth="1"/>
    <col min="2838" max="2839" width="7.28515625" style="339" customWidth="1"/>
    <col min="2840" max="2840" width="7.85546875" style="339" bestFit="1" customWidth="1"/>
    <col min="2841" max="2853" width="7.28515625" style="339" customWidth="1"/>
    <col min="2854" max="2854" width="11.5703125" style="339" bestFit="1" customWidth="1"/>
    <col min="2855" max="3074" width="11.42578125" style="339"/>
    <col min="3075" max="3075" width="13.7109375" style="339" customWidth="1"/>
    <col min="3076" max="3076" width="12.140625" style="339" customWidth="1"/>
    <col min="3077" max="3090" width="11" style="339" customWidth="1"/>
    <col min="3091" max="3093" width="10.42578125" style="339" customWidth="1"/>
    <col min="3094" max="3095" width="7.28515625" style="339" customWidth="1"/>
    <col min="3096" max="3096" width="7.85546875" style="339" bestFit="1" customWidth="1"/>
    <col min="3097" max="3109" width="7.28515625" style="339" customWidth="1"/>
    <col min="3110" max="3110" width="11.5703125" style="339" bestFit="1" customWidth="1"/>
    <col min="3111" max="3330" width="11.42578125" style="339"/>
    <col min="3331" max="3331" width="13.7109375" style="339" customWidth="1"/>
    <col min="3332" max="3332" width="12.140625" style="339" customWidth="1"/>
    <col min="3333" max="3346" width="11" style="339" customWidth="1"/>
    <col min="3347" max="3349" width="10.42578125" style="339" customWidth="1"/>
    <col min="3350" max="3351" width="7.28515625" style="339" customWidth="1"/>
    <col min="3352" max="3352" width="7.85546875" style="339" bestFit="1" customWidth="1"/>
    <col min="3353" max="3365" width="7.28515625" style="339" customWidth="1"/>
    <col min="3366" max="3366" width="11.5703125" style="339" bestFit="1" customWidth="1"/>
    <col min="3367" max="3586" width="11.42578125" style="339"/>
    <col min="3587" max="3587" width="13.7109375" style="339" customWidth="1"/>
    <col min="3588" max="3588" width="12.140625" style="339" customWidth="1"/>
    <col min="3589" max="3602" width="11" style="339" customWidth="1"/>
    <col min="3603" max="3605" width="10.42578125" style="339" customWidth="1"/>
    <col min="3606" max="3607" width="7.28515625" style="339" customWidth="1"/>
    <col min="3608" max="3608" width="7.85546875" style="339" bestFit="1" customWidth="1"/>
    <col min="3609" max="3621" width="7.28515625" style="339" customWidth="1"/>
    <col min="3622" max="3622" width="11.5703125" style="339" bestFit="1" customWidth="1"/>
    <col min="3623" max="3842" width="11.42578125" style="339"/>
    <col min="3843" max="3843" width="13.7109375" style="339" customWidth="1"/>
    <col min="3844" max="3844" width="12.140625" style="339" customWidth="1"/>
    <col min="3845" max="3858" width="11" style="339" customWidth="1"/>
    <col min="3859" max="3861" width="10.42578125" style="339" customWidth="1"/>
    <col min="3862" max="3863" width="7.28515625" style="339" customWidth="1"/>
    <col min="3864" max="3864" width="7.85546875" style="339" bestFit="1" customWidth="1"/>
    <col min="3865" max="3877" width="7.28515625" style="339" customWidth="1"/>
    <col min="3878" max="3878" width="11.5703125" style="339" bestFit="1" customWidth="1"/>
    <col min="3879" max="4098" width="11.42578125" style="339"/>
    <col min="4099" max="4099" width="13.7109375" style="339" customWidth="1"/>
    <col min="4100" max="4100" width="12.140625" style="339" customWidth="1"/>
    <col min="4101" max="4114" width="11" style="339" customWidth="1"/>
    <col min="4115" max="4117" width="10.42578125" style="339" customWidth="1"/>
    <col min="4118" max="4119" width="7.28515625" style="339" customWidth="1"/>
    <col min="4120" max="4120" width="7.85546875" style="339" bestFit="1" customWidth="1"/>
    <col min="4121" max="4133" width="7.28515625" style="339" customWidth="1"/>
    <col min="4134" max="4134" width="11.5703125" style="339" bestFit="1" customWidth="1"/>
    <col min="4135" max="4354" width="11.42578125" style="339"/>
    <col min="4355" max="4355" width="13.7109375" style="339" customWidth="1"/>
    <col min="4356" max="4356" width="12.140625" style="339" customWidth="1"/>
    <col min="4357" max="4370" width="11" style="339" customWidth="1"/>
    <col min="4371" max="4373" width="10.42578125" style="339" customWidth="1"/>
    <col min="4374" max="4375" width="7.28515625" style="339" customWidth="1"/>
    <col min="4376" max="4376" width="7.85546875" style="339" bestFit="1" customWidth="1"/>
    <col min="4377" max="4389" width="7.28515625" style="339" customWidth="1"/>
    <col min="4390" max="4390" width="11.5703125" style="339" bestFit="1" customWidth="1"/>
    <col min="4391" max="4610" width="11.42578125" style="339"/>
    <col min="4611" max="4611" width="13.7109375" style="339" customWidth="1"/>
    <col min="4612" max="4612" width="12.140625" style="339" customWidth="1"/>
    <col min="4613" max="4626" width="11" style="339" customWidth="1"/>
    <col min="4627" max="4629" width="10.42578125" style="339" customWidth="1"/>
    <col min="4630" max="4631" width="7.28515625" style="339" customWidth="1"/>
    <col min="4632" max="4632" width="7.85546875" style="339" bestFit="1" customWidth="1"/>
    <col min="4633" max="4645" width="7.28515625" style="339" customWidth="1"/>
    <col min="4646" max="4646" width="11.5703125" style="339" bestFit="1" customWidth="1"/>
    <col min="4647" max="4866" width="11.42578125" style="339"/>
    <col min="4867" max="4867" width="13.7109375" style="339" customWidth="1"/>
    <col min="4868" max="4868" width="12.140625" style="339" customWidth="1"/>
    <col min="4869" max="4882" width="11" style="339" customWidth="1"/>
    <col min="4883" max="4885" width="10.42578125" style="339" customWidth="1"/>
    <col min="4886" max="4887" width="7.28515625" style="339" customWidth="1"/>
    <col min="4888" max="4888" width="7.85546875" style="339" bestFit="1" customWidth="1"/>
    <col min="4889" max="4901" width="7.28515625" style="339" customWidth="1"/>
    <col min="4902" max="4902" width="11.5703125" style="339" bestFit="1" customWidth="1"/>
    <col min="4903" max="5122" width="11.42578125" style="339"/>
    <col min="5123" max="5123" width="13.7109375" style="339" customWidth="1"/>
    <col min="5124" max="5124" width="12.140625" style="339" customWidth="1"/>
    <col min="5125" max="5138" width="11" style="339" customWidth="1"/>
    <col min="5139" max="5141" width="10.42578125" style="339" customWidth="1"/>
    <col min="5142" max="5143" width="7.28515625" style="339" customWidth="1"/>
    <col min="5144" max="5144" width="7.85546875" style="339" bestFit="1" customWidth="1"/>
    <col min="5145" max="5157" width="7.28515625" style="339" customWidth="1"/>
    <col min="5158" max="5158" width="11.5703125" style="339" bestFit="1" customWidth="1"/>
    <col min="5159" max="5378" width="11.42578125" style="339"/>
    <col min="5379" max="5379" width="13.7109375" style="339" customWidth="1"/>
    <col min="5380" max="5380" width="12.140625" style="339" customWidth="1"/>
    <col min="5381" max="5394" width="11" style="339" customWidth="1"/>
    <col min="5395" max="5397" width="10.42578125" style="339" customWidth="1"/>
    <col min="5398" max="5399" width="7.28515625" style="339" customWidth="1"/>
    <col min="5400" max="5400" width="7.85546875" style="339" bestFit="1" customWidth="1"/>
    <col min="5401" max="5413" width="7.28515625" style="339" customWidth="1"/>
    <col min="5414" max="5414" width="11.5703125" style="339" bestFit="1" customWidth="1"/>
    <col min="5415" max="5634" width="11.42578125" style="339"/>
    <col min="5635" max="5635" width="13.7109375" style="339" customWidth="1"/>
    <col min="5636" max="5636" width="12.140625" style="339" customWidth="1"/>
    <col min="5637" max="5650" width="11" style="339" customWidth="1"/>
    <col min="5651" max="5653" width="10.42578125" style="339" customWidth="1"/>
    <col min="5654" max="5655" width="7.28515625" style="339" customWidth="1"/>
    <col min="5656" max="5656" width="7.85546875" style="339" bestFit="1" customWidth="1"/>
    <col min="5657" max="5669" width="7.28515625" style="339" customWidth="1"/>
    <col min="5670" max="5670" width="11.5703125" style="339" bestFit="1" customWidth="1"/>
    <col min="5671" max="5890" width="11.42578125" style="339"/>
    <col min="5891" max="5891" width="13.7109375" style="339" customWidth="1"/>
    <col min="5892" max="5892" width="12.140625" style="339" customWidth="1"/>
    <col min="5893" max="5906" width="11" style="339" customWidth="1"/>
    <col min="5907" max="5909" width="10.42578125" style="339" customWidth="1"/>
    <col min="5910" max="5911" width="7.28515625" style="339" customWidth="1"/>
    <col min="5912" max="5912" width="7.85546875" style="339" bestFit="1" customWidth="1"/>
    <col min="5913" max="5925" width="7.28515625" style="339" customWidth="1"/>
    <col min="5926" max="5926" width="11.5703125" style="339" bestFit="1" customWidth="1"/>
    <col min="5927" max="6146" width="11.42578125" style="339"/>
    <col min="6147" max="6147" width="13.7109375" style="339" customWidth="1"/>
    <col min="6148" max="6148" width="12.140625" style="339" customWidth="1"/>
    <col min="6149" max="6162" width="11" style="339" customWidth="1"/>
    <col min="6163" max="6165" width="10.42578125" style="339" customWidth="1"/>
    <col min="6166" max="6167" width="7.28515625" style="339" customWidth="1"/>
    <col min="6168" max="6168" width="7.85546875" style="339" bestFit="1" customWidth="1"/>
    <col min="6169" max="6181" width="7.28515625" style="339" customWidth="1"/>
    <col min="6182" max="6182" width="11.5703125" style="339" bestFit="1" customWidth="1"/>
    <col min="6183" max="6402" width="11.42578125" style="339"/>
    <col min="6403" max="6403" width="13.7109375" style="339" customWidth="1"/>
    <col min="6404" max="6404" width="12.140625" style="339" customWidth="1"/>
    <col min="6405" max="6418" width="11" style="339" customWidth="1"/>
    <col min="6419" max="6421" width="10.42578125" style="339" customWidth="1"/>
    <col min="6422" max="6423" width="7.28515625" style="339" customWidth="1"/>
    <col min="6424" max="6424" width="7.85546875" style="339" bestFit="1" customWidth="1"/>
    <col min="6425" max="6437" width="7.28515625" style="339" customWidth="1"/>
    <col min="6438" max="6438" width="11.5703125" style="339" bestFit="1" customWidth="1"/>
    <col min="6439" max="6658" width="11.42578125" style="339"/>
    <col min="6659" max="6659" width="13.7109375" style="339" customWidth="1"/>
    <col min="6660" max="6660" width="12.140625" style="339" customWidth="1"/>
    <col min="6661" max="6674" width="11" style="339" customWidth="1"/>
    <col min="6675" max="6677" width="10.42578125" style="339" customWidth="1"/>
    <col min="6678" max="6679" width="7.28515625" style="339" customWidth="1"/>
    <col min="6680" max="6680" width="7.85546875" style="339" bestFit="1" customWidth="1"/>
    <col min="6681" max="6693" width="7.28515625" style="339" customWidth="1"/>
    <col min="6694" max="6694" width="11.5703125" style="339" bestFit="1" customWidth="1"/>
    <col min="6695" max="6914" width="11.42578125" style="339"/>
    <col min="6915" max="6915" width="13.7109375" style="339" customWidth="1"/>
    <col min="6916" max="6916" width="12.140625" style="339" customWidth="1"/>
    <col min="6917" max="6930" width="11" style="339" customWidth="1"/>
    <col min="6931" max="6933" width="10.42578125" style="339" customWidth="1"/>
    <col min="6934" max="6935" width="7.28515625" style="339" customWidth="1"/>
    <col min="6936" max="6936" width="7.85546875" style="339" bestFit="1" customWidth="1"/>
    <col min="6937" max="6949" width="7.28515625" style="339" customWidth="1"/>
    <col min="6950" max="6950" width="11.5703125" style="339" bestFit="1" customWidth="1"/>
    <col min="6951" max="7170" width="11.42578125" style="339"/>
    <col min="7171" max="7171" width="13.7109375" style="339" customWidth="1"/>
    <col min="7172" max="7172" width="12.140625" style="339" customWidth="1"/>
    <col min="7173" max="7186" width="11" style="339" customWidth="1"/>
    <col min="7187" max="7189" width="10.42578125" style="339" customWidth="1"/>
    <col min="7190" max="7191" width="7.28515625" style="339" customWidth="1"/>
    <col min="7192" max="7192" width="7.85546875" style="339" bestFit="1" customWidth="1"/>
    <col min="7193" max="7205" width="7.28515625" style="339" customWidth="1"/>
    <col min="7206" max="7206" width="11.5703125" style="339" bestFit="1" customWidth="1"/>
    <col min="7207" max="7426" width="11.42578125" style="339"/>
    <col min="7427" max="7427" width="13.7109375" style="339" customWidth="1"/>
    <col min="7428" max="7428" width="12.140625" style="339" customWidth="1"/>
    <col min="7429" max="7442" width="11" style="339" customWidth="1"/>
    <col min="7443" max="7445" width="10.42578125" style="339" customWidth="1"/>
    <col min="7446" max="7447" width="7.28515625" style="339" customWidth="1"/>
    <col min="7448" max="7448" width="7.85546875" style="339" bestFit="1" customWidth="1"/>
    <col min="7449" max="7461" width="7.28515625" style="339" customWidth="1"/>
    <col min="7462" max="7462" width="11.5703125" style="339" bestFit="1" customWidth="1"/>
    <col min="7463" max="7682" width="11.42578125" style="339"/>
    <col min="7683" max="7683" width="13.7109375" style="339" customWidth="1"/>
    <col min="7684" max="7684" width="12.140625" style="339" customWidth="1"/>
    <col min="7685" max="7698" width="11" style="339" customWidth="1"/>
    <col min="7699" max="7701" width="10.42578125" style="339" customWidth="1"/>
    <col min="7702" max="7703" width="7.28515625" style="339" customWidth="1"/>
    <col min="7704" max="7704" width="7.85546875" style="339" bestFit="1" customWidth="1"/>
    <col min="7705" max="7717" width="7.28515625" style="339" customWidth="1"/>
    <col min="7718" max="7718" width="11.5703125" style="339" bestFit="1" customWidth="1"/>
    <col min="7719" max="7938" width="11.42578125" style="339"/>
    <col min="7939" max="7939" width="13.7109375" style="339" customWidth="1"/>
    <col min="7940" max="7940" width="12.140625" style="339" customWidth="1"/>
    <col min="7941" max="7954" width="11" style="339" customWidth="1"/>
    <col min="7955" max="7957" width="10.42578125" style="339" customWidth="1"/>
    <col min="7958" max="7959" width="7.28515625" style="339" customWidth="1"/>
    <col min="7960" max="7960" width="7.85546875" style="339" bestFit="1" customWidth="1"/>
    <col min="7961" max="7973" width="7.28515625" style="339" customWidth="1"/>
    <col min="7974" max="7974" width="11.5703125" style="339" bestFit="1" customWidth="1"/>
    <col min="7975" max="8194" width="11.42578125" style="339"/>
    <col min="8195" max="8195" width="13.7109375" style="339" customWidth="1"/>
    <col min="8196" max="8196" width="12.140625" style="339" customWidth="1"/>
    <col min="8197" max="8210" width="11" style="339" customWidth="1"/>
    <col min="8211" max="8213" width="10.42578125" style="339" customWidth="1"/>
    <col min="8214" max="8215" width="7.28515625" style="339" customWidth="1"/>
    <col min="8216" max="8216" width="7.85546875" style="339" bestFit="1" customWidth="1"/>
    <col min="8217" max="8229" width="7.28515625" style="339" customWidth="1"/>
    <col min="8230" max="8230" width="11.5703125" style="339" bestFit="1" customWidth="1"/>
    <col min="8231" max="8450" width="11.42578125" style="339"/>
    <col min="8451" max="8451" width="13.7109375" style="339" customWidth="1"/>
    <col min="8452" max="8452" width="12.140625" style="339" customWidth="1"/>
    <col min="8453" max="8466" width="11" style="339" customWidth="1"/>
    <col min="8467" max="8469" width="10.42578125" style="339" customWidth="1"/>
    <col min="8470" max="8471" width="7.28515625" style="339" customWidth="1"/>
    <col min="8472" max="8472" width="7.85546875" style="339" bestFit="1" customWidth="1"/>
    <col min="8473" max="8485" width="7.28515625" style="339" customWidth="1"/>
    <col min="8486" max="8486" width="11.5703125" style="339" bestFit="1" customWidth="1"/>
    <col min="8487" max="8706" width="11.42578125" style="339"/>
    <col min="8707" max="8707" width="13.7109375" style="339" customWidth="1"/>
    <col min="8708" max="8708" width="12.140625" style="339" customWidth="1"/>
    <col min="8709" max="8722" width="11" style="339" customWidth="1"/>
    <col min="8723" max="8725" width="10.42578125" style="339" customWidth="1"/>
    <col min="8726" max="8727" width="7.28515625" style="339" customWidth="1"/>
    <col min="8728" max="8728" width="7.85546875" style="339" bestFit="1" customWidth="1"/>
    <col min="8729" max="8741" width="7.28515625" style="339" customWidth="1"/>
    <col min="8742" max="8742" width="11.5703125" style="339" bestFit="1" customWidth="1"/>
    <col min="8743" max="8962" width="11.42578125" style="339"/>
    <col min="8963" max="8963" width="13.7109375" style="339" customWidth="1"/>
    <col min="8964" max="8964" width="12.140625" style="339" customWidth="1"/>
    <col min="8965" max="8978" width="11" style="339" customWidth="1"/>
    <col min="8979" max="8981" width="10.42578125" style="339" customWidth="1"/>
    <col min="8982" max="8983" width="7.28515625" style="339" customWidth="1"/>
    <col min="8984" max="8984" width="7.85546875" style="339" bestFit="1" customWidth="1"/>
    <col min="8985" max="8997" width="7.28515625" style="339" customWidth="1"/>
    <col min="8998" max="8998" width="11.5703125" style="339" bestFit="1" customWidth="1"/>
    <col min="8999" max="9218" width="11.42578125" style="339"/>
    <col min="9219" max="9219" width="13.7109375" style="339" customWidth="1"/>
    <col min="9220" max="9220" width="12.140625" style="339" customWidth="1"/>
    <col min="9221" max="9234" width="11" style="339" customWidth="1"/>
    <col min="9235" max="9237" width="10.42578125" style="339" customWidth="1"/>
    <col min="9238" max="9239" width="7.28515625" style="339" customWidth="1"/>
    <col min="9240" max="9240" width="7.85546875" style="339" bestFit="1" customWidth="1"/>
    <col min="9241" max="9253" width="7.28515625" style="339" customWidth="1"/>
    <col min="9254" max="9254" width="11.5703125" style="339" bestFit="1" customWidth="1"/>
    <col min="9255" max="9474" width="11.42578125" style="339"/>
    <col min="9475" max="9475" width="13.7109375" style="339" customWidth="1"/>
    <col min="9476" max="9476" width="12.140625" style="339" customWidth="1"/>
    <col min="9477" max="9490" width="11" style="339" customWidth="1"/>
    <col min="9491" max="9493" width="10.42578125" style="339" customWidth="1"/>
    <col min="9494" max="9495" width="7.28515625" style="339" customWidth="1"/>
    <col min="9496" max="9496" width="7.85546875" style="339" bestFit="1" customWidth="1"/>
    <col min="9497" max="9509" width="7.28515625" style="339" customWidth="1"/>
    <col min="9510" max="9510" width="11.5703125" style="339" bestFit="1" customWidth="1"/>
    <col min="9511" max="9730" width="11.42578125" style="339"/>
    <col min="9731" max="9731" width="13.7109375" style="339" customWidth="1"/>
    <col min="9732" max="9732" width="12.140625" style="339" customWidth="1"/>
    <col min="9733" max="9746" width="11" style="339" customWidth="1"/>
    <col min="9747" max="9749" width="10.42578125" style="339" customWidth="1"/>
    <col min="9750" max="9751" width="7.28515625" style="339" customWidth="1"/>
    <col min="9752" max="9752" width="7.85546875" style="339" bestFit="1" customWidth="1"/>
    <col min="9753" max="9765" width="7.28515625" style="339" customWidth="1"/>
    <col min="9766" max="9766" width="11.5703125" style="339" bestFit="1" customWidth="1"/>
    <col min="9767" max="9986" width="11.42578125" style="339"/>
    <col min="9987" max="9987" width="13.7109375" style="339" customWidth="1"/>
    <col min="9988" max="9988" width="12.140625" style="339" customWidth="1"/>
    <col min="9989" max="10002" width="11" style="339" customWidth="1"/>
    <col min="10003" max="10005" width="10.42578125" style="339" customWidth="1"/>
    <col min="10006" max="10007" width="7.28515625" style="339" customWidth="1"/>
    <col min="10008" max="10008" width="7.85546875" style="339" bestFit="1" customWidth="1"/>
    <col min="10009" max="10021" width="7.28515625" style="339" customWidth="1"/>
    <col min="10022" max="10022" width="11.5703125" style="339" bestFit="1" customWidth="1"/>
    <col min="10023" max="10242" width="11.42578125" style="339"/>
    <col min="10243" max="10243" width="13.7109375" style="339" customWidth="1"/>
    <col min="10244" max="10244" width="12.140625" style="339" customWidth="1"/>
    <col min="10245" max="10258" width="11" style="339" customWidth="1"/>
    <col min="10259" max="10261" width="10.42578125" style="339" customWidth="1"/>
    <col min="10262" max="10263" width="7.28515625" style="339" customWidth="1"/>
    <col min="10264" max="10264" width="7.85546875" style="339" bestFit="1" customWidth="1"/>
    <col min="10265" max="10277" width="7.28515625" style="339" customWidth="1"/>
    <col min="10278" max="10278" width="11.5703125" style="339" bestFit="1" customWidth="1"/>
    <col min="10279" max="10498" width="11.42578125" style="339"/>
    <col min="10499" max="10499" width="13.7109375" style="339" customWidth="1"/>
    <col min="10500" max="10500" width="12.140625" style="339" customWidth="1"/>
    <col min="10501" max="10514" width="11" style="339" customWidth="1"/>
    <col min="10515" max="10517" width="10.42578125" style="339" customWidth="1"/>
    <col min="10518" max="10519" width="7.28515625" style="339" customWidth="1"/>
    <col min="10520" max="10520" width="7.85546875" style="339" bestFit="1" customWidth="1"/>
    <col min="10521" max="10533" width="7.28515625" style="339" customWidth="1"/>
    <col min="10534" max="10534" width="11.5703125" style="339" bestFit="1" customWidth="1"/>
    <col min="10535" max="10754" width="11.42578125" style="339"/>
    <col min="10755" max="10755" width="13.7109375" style="339" customWidth="1"/>
    <col min="10756" max="10756" width="12.140625" style="339" customWidth="1"/>
    <col min="10757" max="10770" width="11" style="339" customWidth="1"/>
    <col min="10771" max="10773" width="10.42578125" style="339" customWidth="1"/>
    <col min="10774" max="10775" width="7.28515625" style="339" customWidth="1"/>
    <col min="10776" max="10776" width="7.85546875" style="339" bestFit="1" customWidth="1"/>
    <col min="10777" max="10789" width="7.28515625" style="339" customWidth="1"/>
    <col min="10790" max="10790" width="11.5703125" style="339" bestFit="1" customWidth="1"/>
    <col min="10791" max="11010" width="11.42578125" style="339"/>
    <col min="11011" max="11011" width="13.7109375" style="339" customWidth="1"/>
    <col min="11012" max="11012" width="12.140625" style="339" customWidth="1"/>
    <col min="11013" max="11026" width="11" style="339" customWidth="1"/>
    <col min="11027" max="11029" width="10.42578125" style="339" customWidth="1"/>
    <col min="11030" max="11031" width="7.28515625" style="339" customWidth="1"/>
    <col min="11032" max="11032" width="7.85546875" style="339" bestFit="1" customWidth="1"/>
    <col min="11033" max="11045" width="7.28515625" style="339" customWidth="1"/>
    <col min="11046" max="11046" width="11.5703125" style="339" bestFit="1" customWidth="1"/>
    <col min="11047" max="11266" width="11.42578125" style="339"/>
    <col min="11267" max="11267" width="13.7109375" style="339" customWidth="1"/>
    <col min="11268" max="11268" width="12.140625" style="339" customWidth="1"/>
    <col min="11269" max="11282" width="11" style="339" customWidth="1"/>
    <col min="11283" max="11285" width="10.42578125" style="339" customWidth="1"/>
    <col min="11286" max="11287" width="7.28515625" style="339" customWidth="1"/>
    <col min="11288" max="11288" width="7.85546875" style="339" bestFit="1" customWidth="1"/>
    <col min="11289" max="11301" width="7.28515625" style="339" customWidth="1"/>
    <col min="11302" max="11302" width="11.5703125" style="339" bestFit="1" customWidth="1"/>
    <col min="11303" max="11522" width="11.42578125" style="339"/>
    <col min="11523" max="11523" width="13.7109375" style="339" customWidth="1"/>
    <col min="11524" max="11524" width="12.140625" style="339" customWidth="1"/>
    <col min="11525" max="11538" width="11" style="339" customWidth="1"/>
    <col min="11539" max="11541" width="10.42578125" style="339" customWidth="1"/>
    <col min="11542" max="11543" width="7.28515625" style="339" customWidth="1"/>
    <col min="11544" max="11544" width="7.85546875" style="339" bestFit="1" customWidth="1"/>
    <col min="11545" max="11557" width="7.28515625" style="339" customWidth="1"/>
    <col min="11558" max="11558" width="11.5703125" style="339" bestFit="1" customWidth="1"/>
    <col min="11559" max="11778" width="11.42578125" style="339"/>
    <col min="11779" max="11779" width="13.7109375" style="339" customWidth="1"/>
    <col min="11780" max="11780" width="12.140625" style="339" customWidth="1"/>
    <col min="11781" max="11794" width="11" style="339" customWidth="1"/>
    <col min="11795" max="11797" width="10.42578125" style="339" customWidth="1"/>
    <col min="11798" max="11799" width="7.28515625" style="339" customWidth="1"/>
    <col min="11800" max="11800" width="7.85546875" style="339" bestFit="1" customWidth="1"/>
    <col min="11801" max="11813" width="7.28515625" style="339" customWidth="1"/>
    <col min="11814" max="11814" width="11.5703125" style="339" bestFit="1" customWidth="1"/>
    <col min="11815" max="12034" width="11.42578125" style="339"/>
    <col min="12035" max="12035" width="13.7109375" style="339" customWidth="1"/>
    <col min="12036" max="12036" width="12.140625" style="339" customWidth="1"/>
    <col min="12037" max="12050" width="11" style="339" customWidth="1"/>
    <col min="12051" max="12053" width="10.42578125" style="339" customWidth="1"/>
    <col min="12054" max="12055" width="7.28515625" style="339" customWidth="1"/>
    <col min="12056" max="12056" width="7.85546875" style="339" bestFit="1" customWidth="1"/>
    <col min="12057" max="12069" width="7.28515625" style="339" customWidth="1"/>
    <col min="12070" max="12070" width="11.5703125" style="339" bestFit="1" customWidth="1"/>
    <col min="12071" max="12290" width="11.42578125" style="339"/>
    <col min="12291" max="12291" width="13.7109375" style="339" customWidth="1"/>
    <col min="12292" max="12292" width="12.140625" style="339" customWidth="1"/>
    <col min="12293" max="12306" width="11" style="339" customWidth="1"/>
    <col min="12307" max="12309" width="10.42578125" style="339" customWidth="1"/>
    <col min="12310" max="12311" width="7.28515625" style="339" customWidth="1"/>
    <col min="12312" max="12312" width="7.85546875" style="339" bestFit="1" customWidth="1"/>
    <col min="12313" max="12325" width="7.28515625" style="339" customWidth="1"/>
    <col min="12326" max="12326" width="11.5703125" style="339" bestFit="1" customWidth="1"/>
    <col min="12327" max="12546" width="11.42578125" style="339"/>
    <col min="12547" max="12547" width="13.7109375" style="339" customWidth="1"/>
    <col min="12548" max="12548" width="12.140625" style="339" customWidth="1"/>
    <col min="12549" max="12562" width="11" style="339" customWidth="1"/>
    <col min="12563" max="12565" width="10.42578125" style="339" customWidth="1"/>
    <col min="12566" max="12567" width="7.28515625" style="339" customWidth="1"/>
    <col min="12568" max="12568" width="7.85546875" style="339" bestFit="1" customWidth="1"/>
    <col min="12569" max="12581" width="7.28515625" style="339" customWidth="1"/>
    <col min="12582" max="12582" width="11.5703125" style="339" bestFit="1" customWidth="1"/>
    <col min="12583" max="12802" width="11.42578125" style="339"/>
    <col min="12803" max="12803" width="13.7109375" style="339" customWidth="1"/>
    <col min="12804" max="12804" width="12.140625" style="339" customWidth="1"/>
    <col min="12805" max="12818" width="11" style="339" customWidth="1"/>
    <col min="12819" max="12821" width="10.42578125" style="339" customWidth="1"/>
    <col min="12822" max="12823" width="7.28515625" style="339" customWidth="1"/>
    <col min="12824" max="12824" width="7.85546875" style="339" bestFit="1" customWidth="1"/>
    <col min="12825" max="12837" width="7.28515625" style="339" customWidth="1"/>
    <col min="12838" max="12838" width="11.5703125" style="339" bestFit="1" customWidth="1"/>
    <col min="12839" max="13058" width="11.42578125" style="339"/>
    <col min="13059" max="13059" width="13.7109375" style="339" customWidth="1"/>
    <col min="13060" max="13060" width="12.140625" style="339" customWidth="1"/>
    <col min="13061" max="13074" width="11" style="339" customWidth="1"/>
    <col min="13075" max="13077" width="10.42578125" style="339" customWidth="1"/>
    <col min="13078" max="13079" width="7.28515625" style="339" customWidth="1"/>
    <col min="13080" max="13080" width="7.85546875" style="339" bestFit="1" customWidth="1"/>
    <col min="13081" max="13093" width="7.28515625" style="339" customWidth="1"/>
    <col min="13094" max="13094" width="11.5703125" style="339" bestFit="1" customWidth="1"/>
    <col min="13095" max="13314" width="11.42578125" style="339"/>
    <col min="13315" max="13315" width="13.7109375" style="339" customWidth="1"/>
    <col min="13316" max="13316" width="12.140625" style="339" customWidth="1"/>
    <col min="13317" max="13330" width="11" style="339" customWidth="1"/>
    <col min="13331" max="13333" width="10.42578125" style="339" customWidth="1"/>
    <col min="13334" max="13335" width="7.28515625" style="339" customWidth="1"/>
    <col min="13336" max="13336" width="7.85546875" style="339" bestFit="1" customWidth="1"/>
    <col min="13337" max="13349" width="7.28515625" style="339" customWidth="1"/>
    <col min="13350" max="13350" width="11.5703125" style="339" bestFit="1" customWidth="1"/>
    <col min="13351" max="13570" width="11.42578125" style="339"/>
    <col min="13571" max="13571" width="13.7109375" style="339" customWidth="1"/>
    <col min="13572" max="13572" width="12.140625" style="339" customWidth="1"/>
    <col min="13573" max="13586" width="11" style="339" customWidth="1"/>
    <col min="13587" max="13589" width="10.42578125" style="339" customWidth="1"/>
    <col min="13590" max="13591" width="7.28515625" style="339" customWidth="1"/>
    <col min="13592" max="13592" width="7.85546875" style="339" bestFit="1" customWidth="1"/>
    <col min="13593" max="13605" width="7.28515625" style="339" customWidth="1"/>
    <col min="13606" max="13606" width="11.5703125" style="339" bestFit="1" customWidth="1"/>
    <col min="13607" max="13826" width="11.42578125" style="339"/>
    <col min="13827" max="13827" width="13.7109375" style="339" customWidth="1"/>
    <col min="13828" max="13828" width="12.140625" style="339" customWidth="1"/>
    <col min="13829" max="13842" width="11" style="339" customWidth="1"/>
    <col min="13843" max="13845" width="10.42578125" style="339" customWidth="1"/>
    <col min="13846" max="13847" width="7.28515625" style="339" customWidth="1"/>
    <col min="13848" max="13848" width="7.85546875" style="339" bestFit="1" customWidth="1"/>
    <col min="13849" max="13861" width="7.28515625" style="339" customWidth="1"/>
    <col min="13862" max="13862" width="11.5703125" style="339" bestFit="1" customWidth="1"/>
    <col min="13863" max="14082" width="11.42578125" style="339"/>
    <col min="14083" max="14083" width="13.7109375" style="339" customWidth="1"/>
    <col min="14084" max="14084" width="12.140625" style="339" customWidth="1"/>
    <col min="14085" max="14098" width="11" style="339" customWidth="1"/>
    <col min="14099" max="14101" width="10.42578125" style="339" customWidth="1"/>
    <col min="14102" max="14103" width="7.28515625" style="339" customWidth="1"/>
    <col min="14104" max="14104" width="7.85546875" style="339" bestFit="1" customWidth="1"/>
    <col min="14105" max="14117" width="7.28515625" style="339" customWidth="1"/>
    <col min="14118" max="14118" width="11.5703125" style="339" bestFit="1" customWidth="1"/>
    <col min="14119" max="14338" width="11.42578125" style="339"/>
    <col min="14339" max="14339" width="13.7109375" style="339" customWidth="1"/>
    <col min="14340" max="14340" width="12.140625" style="339" customWidth="1"/>
    <col min="14341" max="14354" width="11" style="339" customWidth="1"/>
    <col min="14355" max="14357" width="10.42578125" style="339" customWidth="1"/>
    <col min="14358" max="14359" width="7.28515625" style="339" customWidth="1"/>
    <col min="14360" max="14360" width="7.85546875" style="339" bestFit="1" customWidth="1"/>
    <col min="14361" max="14373" width="7.28515625" style="339" customWidth="1"/>
    <col min="14374" max="14374" width="11.5703125" style="339" bestFit="1" customWidth="1"/>
    <col min="14375" max="14594" width="11.42578125" style="339"/>
    <col min="14595" max="14595" width="13.7109375" style="339" customWidth="1"/>
    <col min="14596" max="14596" width="12.140625" style="339" customWidth="1"/>
    <col min="14597" max="14610" width="11" style="339" customWidth="1"/>
    <col min="14611" max="14613" width="10.42578125" style="339" customWidth="1"/>
    <col min="14614" max="14615" width="7.28515625" style="339" customWidth="1"/>
    <col min="14616" max="14616" width="7.85546875" style="339" bestFit="1" customWidth="1"/>
    <col min="14617" max="14629" width="7.28515625" style="339" customWidth="1"/>
    <col min="14630" max="14630" width="11.5703125" style="339" bestFit="1" customWidth="1"/>
    <col min="14631" max="14850" width="11.42578125" style="339"/>
    <col min="14851" max="14851" width="13.7109375" style="339" customWidth="1"/>
    <col min="14852" max="14852" width="12.140625" style="339" customWidth="1"/>
    <col min="14853" max="14866" width="11" style="339" customWidth="1"/>
    <col min="14867" max="14869" width="10.42578125" style="339" customWidth="1"/>
    <col min="14870" max="14871" width="7.28515625" style="339" customWidth="1"/>
    <col min="14872" max="14872" width="7.85546875" style="339" bestFit="1" customWidth="1"/>
    <col min="14873" max="14885" width="7.28515625" style="339" customWidth="1"/>
    <col min="14886" max="14886" width="11.5703125" style="339" bestFit="1" customWidth="1"/>
    <col min="14887" max="15106" width="11.42578125" style="339"/>
    <col min="15107" max="15107" width="13.7109375" style="339" customWidth="1"/>
    <col min="15108" max="15108" width="12.140625" style="339" customWidth="1"/>
    <col min="15109" max="15122" width="11" style="339" customWidth="1"/>
    <col min="15123" max="15125" width="10.42578125" style="339" customWidth="1"/>
    <col min="15126" max="15127" width="7.28515625" style="339" customWidth="1"/>
    <col min="15128" max="15128" width="7.85546875" style="339" bestFit="1" customWidth="1"/>
    <col min="15129" max="15141" width="7.28515625" style="339" customWidth="1"/>
    <col min="15142" max="15142" width="11.5703125" style="339" bestFit="1" customWidth="1"/>
    <col min="15143" max="15362" width="11.42578125" style="339"/>
    <col min="15363" max="15363" width="13.7109375" style="339" customWidth="1"/>
    <col min="15364" max="15364" width="12.140625" style="339" customWidth="1"/>
    <col min="15365" max="15378" width="11" style="339" customWidth="1"/>
    <col min="15379" max="15381" width="10.42578125" style="339" customWidth="1"/>
    <col min="15382" max="15383" width="7.28515625" style="339" customWidth="1"/>
    <col min="15384" max="15384" width="7.85546875" style="339" bestFit="1" customWidth="1"/>
    <col min="15385" max="15397" width="7.28515625" style="339" customWidth="1"/>
    <col min="15398" max="15398" width="11.5703125" style="339" bestFit="1" customWidth="1"/>
    <col min="15399" max="15618" width="11.42578125" style="339"/>
    <col min="15619" max="15619" width="13.7109375" style="339" customWidth="1"/>
    <col min="15620" max="15620" width="12.140625" style="339" customWidth="1"/>
    <col min="15621" max="15634" width="11" style="339" customWidth="1"/>
    <col min="15635" max="15637" width="10.42578125" style="339" customWidth="1"/>
    <col min="15638" max="15639" width="7.28515625" style="339" customWidth="1"/>
    <col min="15640" max="15640" width="7.85546875" style="339" bestFit="1" customWidth="1"/>
    <col min="15641" max="15653" width="7.28515625" style="339" customWidth="1"/>
    <col min="15654" max="15654" width="11.5703125" style="339" bestFit="1" customWidth="1"/>
    <col min="15655" max="15874" width="11.42578125" style="339"/>
    <col min="15875" max="15875" width="13.7109375" style="339" customWidth="1"/>
    <col min="15876" max="15876" width="12.140625" style="339" customWidth="1"/>
    <col min="15877" max="15890" width="11" style="339" customWidth="1"/>
    <col min="15891" max="15893" width="10.42578125" style="339" customWidth="1"/>
    <col min="15894" max="15895" width="7.28515625" style="339" customWidth="1"/>
    <col min="15896" max="15896" width="7.85546875" style="339" bestFit="1" customWidth="1"/>
    <col min="15897" max="15909" width="7.28515625" style="339" customWidth="1"/>
    <col min="15910" max="15910" width="11.5703125" style="339" bestFit="1" customWidth="1"/>
    <col min="15911" max="16130" width="11.42578125" style="339"/>
    <col min="16131" max="16131" width="13.7109375" style="339" customWidth="1"/>
    <col min="16132" max="16132" width="12.140625" style="339" customWidth="1"/>
    <col min="16133" max="16146" width="11" style="339" customWidth="1"/>
    <col min="16147" max="16149" width="10.42578125" style="339" customWidth="1"/>
    <col min="16150" max="16151" width="7.28515625" style="339" customWidth="1"/>
    <col min="16152" max="16152" width="7.85546875" style="339" bestFit="1" customWidth="1"/>
    <col min="16153" max="16165" width="7.28515625" style="339" customWidth="1"/>
    <col min="16166" max="16166" width="11.5703125" style="339" bestFit="1" customWidth="1"/>
    <col min="16167" max="16384" width="11.42578125" style="339"/>
  </cols>
  <sheetData>
    <row r="3" spans="2:12">
      <c r="B3" s="338"/>
    </row>
    <row r="4" spans="2:12">
      <c r="B4" s="338"/>
    </row>
    <row r="5" spans="2:12" ht="13.5" thickBot="1">
      <c r="B5" s="338"/>
    </row>
    <row r="6" spans="2:12" ht="25.5" customHeight="1" thickBot="1">
      <c r="B6" s="220" t="s">
        <v>249</v>
      </c>
      <c r="C6" s="221"/>
      <c r="D6" s="221"/>
      <c r="E6" s="221"/>
      <c r="F6" s="221"/>
      <c r="H6" s="60" t="s">
        <v>49</v>
      </c>
    </row>
    <row r="7" spans="2:12" ht="42" customHeight="1">
      <c r="B7" s="303"/>
      <c r="C7" s="304" t="s">
        <v>250</v>
      </c>
      <c r="D7" s="304" t="s">
        <v>201</v>
      </c>
      <c r="E7" s="304" t="s">
        <v>202</v>
      </c>
      <c r="F7" s="304" t="s">
        <v>203</v>
      </c>
    </row>
    <row r="8" spans="2:12" ht="15" hidden="1">
      <c r="B8" s="305" t="s">
        <v>204</v>
      </c>
      <c r="C8" s="52" t="e">
        <f>GETPIVOTDATA("dato",'[1]tabla dinámica pernocta'!$P$5,"categoría","TOTAL","mes",12,"año",2010)</f>
        <v>#REF!</v>
      </c>
      <c r="D8" s="39" t="str">
        <f t="shared" ref="D8:D17" si="0">IFERROR((C8-C9)/C9,"-")</f>
        <v>-</v>
      </c>
      <c r="E8" s="39" t="e">
        <f>C8/C21-1</f>
        <v>#REF!</v>
      </c>
      <c r="F8" s="306" t="e">
        <f>((SUM(C8:C19)/SUM(C21:C32))-1)</f>
        <v>#REF!</v>
      </c>
    </row>
    <row r="9" spans="2:12" ht="15" hidden="1">
      <c r="B9" s="305" t="s">
        <v>205</v>
      </c>
      <c r="C9" s="52" t="e">
        <f>GETPIVOTDATA("dato",'[1]tabla dinámica pernocta'!$P$5,"categoría","TOTAL","mes",11,"año",2010)</f>
        <v>#REF!</v>
      </c>
      <c r="D9" s="39" t="str">
        <f t="shared" si="0"/>
        <v>-</v>
      </c>
      <c r="E9" s="39" t="e">
        <f t="shared" ref="E9:E59" si="1">C9/C22-1</f>
        <v>#REF!</v>
      </c>
      <c r="F9" s="306" t="e">
        <f>((SUM(C9:C19,C21)/SUM(C22:C32,C34))-1)</f>
        <v>#REF!</v>
      </c>
    </row>
    <row r="10" spans="2:12" ht="15" hidden="1">
      <c r="B10" s="305" t="s">
        <v>206</v>
      </c>
      <c r="C10" s="52" t="e">
        <f>GETPIVOTDATA("dato",'[1]tabla dinámica pernocta'!$P$5,"categoría","TOTAL","mes",10,"año",2010)</f>
        <v>#REF!</v>
      </c>
      <c r="D10" s="39" t="str">
        <f t="shared" si="0"/>
        <v>-</v>
      </c>
      <c r="E10" s="39" t="e">
        <f t="shared" si="1"/>
        <v>#REF!</v>
      </c>
      <c r="F10" s="306" t="e">
        <f>((SUM(C10:C19,C21:C22)/SUM(C23:C32,C34:C35))-1)</f>
        <v>#REF!</v>
      </c>
    </row>
    <row r="11" spans="2:12" ht="15" hidden="1">
      <c r="B11" s="305" t="s">
        <v>207</v>
      </c>
      <c r="C11" s="52" t="e">
        <f>GETPIVOTDATA("dato",'[1]tabla dinámica pernocta'!$P$5,"categoría","TOTAL","mes",9,"año",2010)</f>
        <v>#REF!</v>
      </c>
      <c r="D11" s="39" t="str">
        <f t="shared" si="0"/>
        <v>-</v>
      </c>
      <c r="E11" s="39" t="e">
        <f t="shared" si="1"/>
        <v>#REF!</v>
      </c>
      <c r="F11" s="306" t="e">
        <f>((SUM(C11:C19,C21:C23)/SUM(C24:C32,C34:C36))-1)</f>
        <v>#REF!</v>
      </c>
    </row>
    <row r="12" spans="2:12" ht="15" hidden="1">
      <c r="B12" s="305" t="s">
        <v>208</v>
      </c>
      <c r="C12" s="52" t="e">
        <f>GETPIVOTDATA("dato",'[1]tabla dinámica pernocta'!$P$5,"categoría","TOTAL","mes",8,"año",2010)</f>
        <v>#REF!</v>
      </c>
      <c r="D12" s="39" t="str">
        <f t="shared" si="0"/>
        <v>-</v>
      </c>
      <c r="E12" s="39" t="e">
        <f t="shared" si="1"/>
        <v>#REF!</v>
      </c>
      <c r="F12" s="306" t="e">
        <f>((SUM(C12:C19,C21:C24)/SUM(C25:C32,C34:C37))-1)</f>
        <v>#REF!</v>
      </c>
      <c r="G12" s="12"/>
      <c r="H12" s="12"/>
      <c r="I12" s="12"/>
      <c r="J12" s="12"/>
      <c r="K12" s="12"/>
      <c r="L12" s="12"/>
    </row>
    <row r="13" spans="2:12" ht="15">
      <c r="B13" s="305" t="s">
        <v>209</v>
      </c>
      <c r="C13" s="52">
        <f>GETPIVOTDATA("dato",'[1]tabla dinámica pernocta'!$P$5,"categoría","TOTAL","mes",7,"año",2010)</f>
        <v>1306347</v>
      </c>
      <c r="D13" s="39">
        <f t="shared" si="0"/>
        <v>0.31074980860711127</v>
      </c>
      <c r="E13" s="39">
        <f t="shared" si="1"/>
        <v>6.2691066817865959E-2</v>
      </c>
      <c r="F13" s="306">
        <f>((SUM(C13:C19,C21:C25)/SUM(C26:C32,C34:C38))-1)</f>
        <v>-5.3708915819590142E-2</v>
      </c>
      <c r="G13" s="12"/>
      <c r="H13" s="12"/>
      <c r="I13" s="12"/>
      <c r="J13" s="12"/>
      <c r="K13" s="12"/>
      <c r="L13" s="12"/>
    </row>
    <row r="14" spans="2:12" ht="15">
      <c r="B14" s="305" t="s">
        <v>210</v>
      </c>
      <c r="C14" s="52">
        <f>GETPIVOTDATA("dato",'[1]tabla dinámica pernocta'!$P$5,"categoría","TOTAL","mes",6,"año",2010)</f>
        <v>996641</v>
      </c>
      <c r="D14" s="39">
        <f t="shared" si="0"/>
        <v>4.6287333998215316E-2</v>
      </c>
      <c r="E14" s="39">
        <f t="shared" si="1"/>
        <v>2.8320468678580957E-2</v>
      </c>
      <c r="F14" s="306">
        <f>((SUM(C14:C19,C21:C26)/SUM(C27:C32,C34:C39))-1)</f>
        <v>-7.6296336903392548E-2</v>
      </c>
      <c r="G14" s="12"/>
      <c r="H14" s="12"/>
      <c r="I14" s="12"/>
      <c r="J14" s="12"/>
      <c r="K14" s="12"/>
      <c r="L14" s="12"/>
    </row>
    <row r="15" spans="2:12" ht="15">
      <c r="B15" s="305" t="s">
        <v>211</v>
      </c>
      <c r="C15" s="52">
        <f>GETPIVOTDATA("dato",'[1]tabla dinámica pernocta'!$P$5,"categoría","TOTAL","mes",5,"año",2010)</f>
        <v>952550</v>
      </c>
      <c r="D15" s="39">
        <f t="shared" si="0"/>
        <v>-0.10245175636966682</v>
      </c>
      <c r="E15" s="39">
        <f t="shared" si="1"/>
        <v>5.6023396480771925E-2</v>
      </c>
      <c r="F15" s="306">
        <f>((SUM(C15:C19,C21:C27)/SUM(C28:C32,C34:C40))-1)</f>
        <v>-9.3611262830673114E-2</v>
      </c>
      <c r="G15" s="12"/>
      <c r="H15" s="12"/>
      <c r="I15" s="12"/>
      <c r="J15" s="12"/>
      <c r="K15" s="12"/>
      <c r="L15" s="12"/>
    </row>
    <row r="16" spans="2:12" ht="15">
      <c r="B16" s="305" t="s">
        <v>212</v>
      </c>
      <c r="C16" s="52">
        <f>GETPIVOTDATA("dato",'[1]tabla dinámica pernocta'!$P$5,"categoría","TOTAL","mes",4,"año",2010)</f>
        <v>1061280</v>
      </c>
      <c r="D16" s="39">
        <f t="shared" si="0"/>
        <v>-6.7607423084728696E-2</v>
      </c>
      <c r="E16" s="39">
        <f t="shared" si="1"/>
        <v>-3.62592387094548E-2</v>
      </c>
      <c r="F16" s="306">
        <f>((SUM(C16:C19,C21:C28)/SUM(C29:C32,C34:C41))-1)</f>
        <v>-0.11484823201711247</v>
      </c>
      <c r="G16" s="12"/>
      <c r="H16" s="12"/>
      <c r="I16" s="12"/>
      <c r="J16" s="12"/>
      <c r="K16" s="12"/>
      <c r="L16" s="12"/>
    </row>
    <row r="17" spans="2:12" ht="15">
      <c r="B17" s="305" t="s">
        <v>213</v>
      </c>
      <c r="C17" s="52">
        <f>GETPIVOTDATA("dato",'[1]tabla dinámica pernocta'!$P$5,"categoría","TOTAL","mes",3,"año",2010)</f>
        <v>1138233</v>
      </c>
      <c r="D17" s="39">
        <f t="shared" si="0"/>
        <v>5.2752643597790229E-2</v>
      </c>
      <c r="E17" s="39">
        <f t="shared" si="1"/>
        <v>-1.7154822554183546E-2</v>
      </c>
      <c r="F17" s="306">
        <f>((SUM(C17:C19,C21:C29)/SUM(C30:C32,C34:C42))-1)</f>
        <v>-0.12474260366883361</v>
      </c>
      <c r="G17" s="12"/>
      <c r="H17" s="12"/>
      <c r="I17" s="12"/>
      <c r="J17" s="12"/>
      <c r="K17" s="12"/>
      <c r="L17" s="12"/>
    </row>
    <row r="18" spans="2:12" ht="15">
      <c r="B18" s="305" t="s">
        <v>214</v>
      </c>
      <c r="C18" s="52">
        <f>GETPIVOTDATA("dato",'[1]tabla dinámica pernocta'!$P$5,"categoría","TOTAL","mes",2,"año",2010)</f>
        <v>1081197</v>
      </c>
      <c r="D18" s="39">
        <f>IFERROR((C18-C19)/C19,"-")</f>
        <v>-6.9822042319257024E-2</v>
      </c>
      <c r="E18" s="39">
        <f t="shared" si="1"/>
        <v>-2.5021980350693696E-2</v>
      </c>
      <c r="F18" s="306">
        <f>((SUM(C18:C19,C21:C30)/SUM(C31:C32,C34:C43))-1)</f>
        <v>-0.14318075618130477</v>
      </c>
    </row>
    <row r="19" spans="2:12" ht="15">
      <c r="B19" s="305" t="s">
        <v>215</v>
      </c>
      <c r="C19" s="52">
        <f>GETPIVOTDATA("dato",'[1]tabla dinámica pernocta'!$P$5,"categoría","TOTAL","mes",1,"año",2010)</f>
        <v>1162355</v>
      </c>
      <c r="D19" s="39" t="s">
        <v>216</v>
      </c>
      <c r="E19" s="39">
        <f t="shared" si="1"/>
        <v>-6.4817630768884138E-2</v>
      </c>
      <c r="F19" s="306">
        <f>((SUM(C19,C21:C31)/SUM(C32,C34:C44))-1)</f>
        <v>-0.15690763269388264</v>
      </c>
    </row>
    <row r="20" spans="2:12" ht="24">
      <c r="B20" s="340" t="str">
        <f>actualizaciones!A2</f>
        <v xml:space="preserve">acumulado julio 2010 </v>
      </c>
      <c r="C20" s="55">
        <f>GETPIVOTDATA("dato",'[1]tabla dinámica pernocta'!$P$5,"categoría","TOTAL","año",2010)</f>
        <v>7698603</v>
      </c>
      <c r="D20" s="341"/>
      <c r="E20" s="341">
        <f>(C19+C18+C17+C16+C15+C14+C13)/(C32+C31+C30+C29+C28+C27+C26)-1</f>
        <v>-1.6935387347709607E-3</v>
      </c>
      <c r="F20" s="341" t="s">
        <v>216</v>
      </c>
    </row>
    <row r="21" spans="2:12" ht="15" hidden="1" outlineLevel="1">
      <c r="B21" s="305" t="s">
        <v>204</v>
      </c>
      <c r="C21" s="52">
        <f>GETPIVOTDATA("dato",'[1]tabla dinámica pernocta'!$P$5,"categoría","TOTAL","mes",12,"año",2009)</f>
        <v>1114181</v>
      </c>
      <c r="D21" s="39">
        <f t="shared" ref="D21:D31" si="2">IFERROR((C21-C22)/C22,"-")</f>
        <v>-2.3263418303209032E-2</v>
      </c>
      <c r="E21" s="39">
        <f t="shared" si="1"/>
        <v>-9.2075037504899426E-2</v>
      </c>
      <c r="F21" s="306">
        <f>((SUM(C21:C32)/SUM(C34:C45))-1)</f>
        <v>-0.16276246416833373</v>
      </c>
    </row>
    <row r="22" spans="2:12" ht="15" hidden="1" outlineLevel="1">
      <c r="B22" s="305" t="s">
        <v>205</v>
      </c>
      <c r="C22" s="52">
        <f>GETPIVOTDATA("dato",'[1]tabla dinámica pernocta'!$P$5,"categoría","TOTAL","mes",11,"año",2009)</f>
        <v>1140718</v>
      </c>
      <c r="D22" s="39">
        <f t="shared" si="2"/>
        <v>3.8520329895931106E-2</v>
      </c>
      <c r="E22" s="39">
        <f t="shared" si="1"/>
        <v>-9.1916617178084081E-2</v>
      </c>
      <c r="F22" s="306">
        <f>((SUM(C22:C32,C34)/SUM(C35:C45,C47))-1)</f>
        <v>-0.16265395032706464</v>
      </c>
    </row>
    <row r="23" spans="2:12" ht="15" hidden="1" outlineLevel="1">
      <c r="B23" s="305" t="s">
        <v>206</v>
      </c>
      <c r="C23" s="52">
        <f>GETPIVOTDATA("dato",'[1]tabla dinámica pernocta'!$P$5,"categoría","TOTAL","mes",10,"año",2009)</f>
        <v>1098407</v>
      </c>
      <c r="D23" s="39">
        <f t="shared" si="2"/>
        <v>3.85138303746341E-2</v>
      </c>
      <c r="E23" s="39">
        <f t="shared" si="1"/>
        <v>-0.14627355913207107</v>
      </c>
      <c r="F23" s="306">
        <f>((SUM(C23:C32,C34:C35)/SUM(C36:C45,C47:C48))-1)</f>
        <v>-0.16212230203331279</v>
      </c>
    </row>
    <row r="24" spans="2:12" ht="15" hidden="1" outlineLevel="1">
      <c r="B24" s="305" t="s">
        <v>207</v>
      </c>
      <c r="C24" s="52">
        <f>GETPIVOTDATA("dato",'[1]tabla dinámica pernocta'!$P$5,"categoría","TOTAL","mes",9,"año",2009)</f>
        <v>1057672</v>
      </c>
      <c r="D24" s="39">
        <f t="shared" si="2"/>
        <v>-0.24281254228284782</v>
      </c>
      <c r="E24" s="39">
        <f t="shared" si="1"/>
        <v>-0.1130276103356781</v>
      </c>
      <c r="F24" s="306">
        <f>((SUM(C24:C32,C34:C36)/SUM(C37:C45,C47:C49))-1)</f>
        <v>-0.15518785732610352</v>
      </c>
    </row>
    <row r="25" spans="2:12" ht="15" hidden="1" outlineLevel="1">
      <c r="B25" s="305" t="s">
        <v>208</v>
      </c>
      <c r="C25" s="52">
        <f>GETPIVOTDATA("dato",'[1]tabla dinámica pernocta'!$P$5,"categoría","TOTAL","mes",8,"año",2009)</f>
        <v>1396843</v>
      </c>
      <c r="D25" s="39">
        <f t="shared" si="2"/>
        <v>0.13630802370814835</v>
      </c>
      <c r="E25" s="39">
        <f t="shared" si="1"/>
        <v>-0.12639381489850454</v>
      </c>
      <c r="F25" s="306">
        <f>((SUM(C25:C32,C34:C37)/SUM(C38:C45,C47:C50))-1)</f>
        <v>-0.14964556669955653</v>
      </c>
    </row>
    <row r="26" spans="2:12" ht="15" hidden="1" outlineLevel="1">
      <c r="B26" s="305" t="s">
        <v>209</v>
      </c>
      <c r="C26" s="52">
        <f>GETPIVOTDATA("dato",'[1]tabla dinámica pernocta'!$P$5,"categoría","TOTAL","mes",7,"año",2009)</f>
        <v>1229282</v>
      </c>
      <c r="D26" s="39">
        <f t="shared" si="2"/>
        <v>0.26835625102533756</v>
      </c>
      <c r="E26" s="39">
        <f t="shared" si="1"/>
        <v>-0.17766683546607032</v>
      </c>
      <c r="F26" s="306">
        <f>((SUM(C26:C32,C34:C38)/SUM(C39:C45,C47:C51))-1)</f>
        <v>-0.13941423419598242</v>
      </c>
    </row>
    <row r="27" spans="2:12" ht="15" hidden="1" outlineLevel="1">
      <c r="B27" s="305" t="s">
        <v>210</v>
      </c>
      <c r="C27" s="52">
        <f>GETPIVOTDATA("dato",'[1]tabla dinámica pernocta'!$P$5,"categoría","TOTAL","mes",6,"año",2009)</f>
        <v>969193</v>
      </c>
      <c r="D27" s="39">
        <f t="shared" si="2"/>
        <v>7.4474288704413222E-2</v>
      </c>
      <c r="E27" s="39">
        <f t="shared" si="1"/>
        <v>-0.20338817271116283</v>
      </c>
      <c r="F27" s="306">
        <f>((SUM(C27:C32,C34:C39)/SUM(C40:C45,C47:C52))-1)</f>
        <v>-0.11901367787131767</v>
      </c>
    </row>
    <row r="28" spans="2:12" ht="15" hidden="1" outlineLevel="1">
      <c r="B28" s="305" t="s">
        <v>211</v>
      </c>
      <c r="C28" s="52">
        <f>GETPIVOTDATA("dato",'[1]tabla dinámica pernocta'!$P$5,"categoría","TOTAL","mes",5,"año",2009)</f>
        <v>902016</v>
      </c>
      <c r="D28" s="39">
        <f t="shared" si="2"/>
        <v>-0.1808857355869776</v>
      </c>
      <c r="E28" s="39">
        <f t="shared" si="1"/>
        <v>-0.24811887179820602</v>
      </c>
      <c r="F28" s="306">
        <f>((SUM(C28:C32,C34:C40)/SUM(C41:C45,C47:C53))-1)</f>
        <v>-9.7531501600127246E-2</v>
      </c>
    </row>
    <row r="29" spans="2:12" ht="15" hidden="1" outlineLevel="1">
      <c r="B29" s="305" t="s">
        <v>212</v>
      </c>
      <c r="C29" s="52">
        <f>GETPIVOTDATA("dato",'[1]tabla dinámica pernocta'!$P$5,"categoría","TOTAL","mes",4,"año",2009)</f>
        <v>1101209</v>
      </c>
      <c r="D29" s="39">
        <f t="shared" si="2"/>
        <v>-4.9124427942319318E-2</v>
      </c>
      <c r="E29" s="39">
        <f t="shared" si="1"/>
        <v>-0.16406812804258264</v>
      </c>
      <c r="F29" s="306">
        <f>((SUM(C29:C32,C34:C41)/SUM(C42:C45,C47:C54))-1)</f>
        <v>-6.8302603539331042E-2</v>
      </c>
    </row>
    <row r="30" spans="2:12" ht="15" hidden="1" outlineLevel="1">
      <c r="B30" s="305" t="s">
        <v>213</v>
      </c>
      <c r="C30" s="52">
        <f>GETPIVOTDATA("dato",'[1]tabla dinámica pernocta'!$P$5,"categoría","TOTAL","mes",3,"año",2009)</f>
        <v>1158100</v>
      </c>
      <c r="D30" s="39">
        <f t="shared" si="2"/>
        <v>4.4325913368111133E-2</v>
      </c>
      <c r="E30" s="39">
        <f t="shared" si="1"/>
        <v>-0.23331495125217727</v>
      </c>
      <c r="F30" s="306">
        <f>((SUM(C30:C32,C34:C42)/SUM(C43:C45,C47:C55))-1)</f>
        <v>-5.3764751597498939E-2</v>
      </c>
    </row>
    <row r="31" spans="2:12" ht="15" hidden="1" outlineLevel="1">
      <c r="B31" s="305" t="s">
        <v>214</v>
      </c>
      <c r="C31" s="52">
        <f>GETPIVOTDATA("dato",'[1]tabla dinámica pernocta'!$P$5,"categoría","TOTAL","mes",2,"año",2009)</f>
        <v>1108945</v>
      </c>
      <c r="D31" s="39">
        <f t="shared" si="2"/>
        <v>-0.10778908986755362</v>
      </c>
      <c r="E31" s="39">
        <f t="shared" si="1"/>
        <v>-0.20602548433773582</v>
      </c>
      <c r="F31" s="306">
        <f>((SUM(C31:C32,C34:C43)/SUM(C44:C45,C47:C56))-1)</f>
        <v>-2.6395763341739542E-2</v>
      </c>
    </row>
    <row r="32" spans="2:12" ht="15" hidden="1" outlineLevel="1">
      <c r="B32" s="305" t="s">
        <v>215</v>
      </c>
      <c r="C32" s="52">
        <f>GETPIVOTDATA("dato",'[1]tabla dinámica pernocta'!$P$5,"categoría","TOTAL","mes",1,"año",2009)</f>
        <v>1242918</v>
      </c>
      <c r="D32" s="39" t="s">
        <v>216</v>
      </c>
      <c r="E32" s="39">
        <f t="shared" si="1"/>
        <v>-0.14317681089085155</v>
      </c>
      <c r="F32" s="306">
        <f>((SUM(C32,C34:C44)/SUM(C45,C47:C57))-1)</f>
        <v>-1.8177023683484395E-3</v>
      </c>
    </row>
    <row r="33" spans="2:6" ht="15" collapsed="1">
      <c r="B33" s="310">
        <v>2009</v>
      </c>
      <c r="C33" s="57">
        <f>GETPIVOTDATA("dato",'[1]tabla dinámica pernocta'!$P$5,"categoría","TOTAL","año",2009)</f>
        <v>13519484</v>
      </c>
      <c r="D33" s="311"/>
      <c r="E33" s="311">
        <f t="shared" si="1"/>
        <v>-0.16276246416833373</v>
      </c>
      <c r="F33" s="311">
        <f>C33/C46-1</f>
        <v>-0.16276246416833373</v>
      </c>
    </row>
    <row r="34" spans="2:6" ht="15" hidden="1" outlineLevel="1">
      <c r="B34" s="305" t="s">
        <v>204</v>
      </c>
      <c r="C34" s="52">
        <f>GETPIVOTDATA("dato",'[1]tabla dinámica pernocta'!$P$5,"categoría","TOTAL","mes",12,"año",2008)</f>
        <v>1227173</v>
      </c>
      <c r="D34" s="39">
        <f t="shared" ref="D34:D44" si="3">IFERROR((C34-C35)/C35,"-")</f>
        <v>-2.3092991302215763E-2</v>
      </c>
      <c r="E34" s="39">
        <f t="shared" si="1"/>
        <v>-9.7680844634016717E-2</v>
      </c>
      <c r="F34" s="306">
        <f>((SUM(C34:C45)/SUM(C47:C58))-1)</f>
        <v>1.411494936624913E-2</v>
      </c>
    </row>
    <row r="35" spans="2:6" ht="15" hidden="1" outlineLevel="1">
      <c r="B35" s="305" t="s">
        <v>205</v>
      </c>
      <c r="C35" s="52">
        <f>GETPIVOTDATA("dato",'[1]tabla dinámica pernocta'!$P$5,"categoría","TOTAL","mes",11,"año",2008)</f>
        <v>1256182</v>
      </c>
      <c r="D35" s="39">
        <f t="shared" si="3"/>
        <v>-2.3644434219413448E-2</v>
      </c>
      <c r="E35" s="39">
        <f t="shared" si="1"/>
        <v>-9.2129046432750328E-2</v>
      </c>
      <c r="F35" s="306">
        <f>((SUM(C35:C45,C47)/SUM(C48:C58,C60))-1)</f>
        <v>2.5597969236677232E-2</v>
      </c>
    </row>
    <row r="36" spans="2:6" ht="15" hidden="1" outlineLevel="1">
      <c r="B36" s="305" t="s">
        <v>206</v>
      </c>
      <c r="C36" s="52">
        <f>GETPIVOTDATA("dato",'[1]tabla dinámica pernocta'!$P$5,"categoría","TOTAL","mes",10,"año",2008)</f>
        <v>1286603</v>
      </c>
      <c r="D36" s="39">
        <f t="shared" si="3"/>
        <v>7.8955798640112984E-2</v>
      </c>
      <c r="E36" s="39">
        <f t="shared" si="1"/>
        <v>-6.4076357689890395E-2</v>
      </c>
      <c r="F36" s="306">
        <f>((SUM(C36:C45,C47:C48)/SUM(C49:C58,C60:C61))-1)</f>
        <v>3.7485955760416134E-2</v>
      </c>
    </row>
    <row r="37" spans="2:6" ht="15" hidden="1" outlineLevel="1">
      <c r="B37" s="305" t="s">
        <v>207</v>
      </c>
      <c r="C37" s="52">
        <f>GETPIVOTDATA("dato",'[1]tabla dinámica pernocta'!$P$5,"categoría","TOTAL","mes",9,"año",2008)</f>
        <v>1192452</v>
      </c>
      <c r="D37" s="39">
        <f t="shared" si="3"/>
        <v>-0.25422295659809413</v>
      </c>
      <c r="E37" s="39">
        <f t="shared" si="1"/>
        <v>-4.1001741144490844E-2</v>
      </c>
      <c r="F37" s="306">
        <f>((SUM(C37:C45,C47:C49)/SUM(C50:C58,C60:C62))-1)</f>
        <v>4.0930191175324593E-2</v>
      </c>
    </row>
    <row r="38" spans="2:6" ht="15" hidden="1" outlineLevel="1">
      <c r="B38" s="305" t="s">
        <v>208</v>
      </c>
      <c r="C38" s="52">
        <f>GETPIVOTDATA("dato",'[1]tabla dinámica pernocta'!$P$5,"categoría","TOTAL","mes",8,"año",2008)</f>
        <v>1598939</v>
      </c>
      <c r="D38" s="39">
        <f t="shared" si="3"/>
        <v>6.9616709401680812E-2</v>
      </c>
      <c r="E38" s="39">
        <f t="shared" si="1"/>
        <v>-2.3279694132551931E-2</v>
      </c>
      <c r="F38" s="306">
        <f>((SUM(C38:C45,C47:C50)/SUM(C51:C58,C60:C63))-1)</f>
        <v>3.9324001447141654E-2</v>
      </c>
    </row>
    <row r="39" spans="2:6" ht="15" hidden="1" outlineLevel="1">
      <c r="B39" s="305" t="s">
        <v>209</v>
      </c>
      <c r="C39" s="52">
        <f>GETPIVOTDATA("dato",'[1]tabla dinámica pernocta'!$P$5,"categoría","TOTAL","mes",7,"año",2008)</f>
        <v>1494871</v>
      </c>
      <c r="D39" s="39">
        <f t="shared" si="3"/>
        <v>0.22868398644139123</v>
      </c>
      <c r="E39" s="39">
        <f t="shared" si="1"/>
        <v>5.8478364463779631E-2</v>
      </c>
      <c r="F39" s="306">
        <f>((SUM(C39:C45,C47:C51)/SUM(C52:C58,C60:C64))-1)</f>
        <v>3.5342296229533332E-2</v>
      </c>
    </row>
    <row r="40" spans="2:6" ht="15" hidden="1" outlineLevel="1">
      <c r="B40" s="305" t="s">
        <v>210</v>
      </c>
      <c r="C40" s="52">
        <f>GETPIVOTDATA("dato",'[1]tabla dinámica pernocta'!$P$5,"categoría","TOTAL","mes",6,"año",2008)</f>
        <v>1216644</v>
      </c>
      <c r="D40" s="39">
        <f t="shared" si="3"/>
        <v>1.4141282793147168E-2</v>
      </c>
      <c r="E40" s="39">
        <f t="shared" si="1"/>
        <v>0.10804253505426176</v>
      </c>
      <c r="F40" s="306">
        <f>((SUM(C40:C45,C47:C52)/SUM(C53:C58,C60:C65))-1)</f>
        <v>2.2849148378829787E-2</v>
      </c>
    </row>
    <row r="41" spans="2:6" ht="15" hidden="1" outlineLevel="1">
      <c r="B41" s="305" t="s">
        <v>211</v>
      </c>
      <c r="C41" s="52">
        <f>GETPIVOTDATA("dato",'[1]tabla dinámica pernocta'!$P$5,"categoría","TOTAL","mes",5,"año",2008)</f>
        <v>1199679</v>
      </c>
      <c r="D41" s="39">
        <f t="shared" si="3"/>
        <v>-8.9319182627455418E-2</v>
      </c>
      <c r="E41" s="39">
        <f t="shared" si="1"/>
        <v>0.19350856074096923</v>
      </c>
      <c r="F41" s="306">
        <f>((SUM(C41:C45,C47:C53)/SUM(C54:C58,C60:C66))-1)</f>
        <v>9.0544480159870933E-3</v>
      </c>
    </row>
    <row r="42" spans="2:6" ht="15" hidden="1" outlineLevel="1">
      <c r="B42" s="305" t="s">
        <v>212</v>
      </c>
      <c r="C42" s="52">
        <f>GETPIVOTDATA("dato",'[1]tabla dinámica pernocta'!$P$5,"categoría","TOTAL","mes",4,"año",2008)</f>
        <v>1317343</v>
      </c>
      <c r="D42" s="39">
        <f t="shared" si="3"/>
        <v>-0.12789294346550115</v>
      </c>
      <c r="E42" s="39">
        <f t="shared" si="1"/>
        <v>1.5665862775091188E-2</v>
      </c>
      <c r="F42" s="306">
        <f>((SUM(C42:C45,C47:C54)/SUM(C55:C58,C60:C67))-1)</f>
        <v>-1.0527844386365892E-2</v>
      </c>
    </row>
    <row r="43" spans="2:6" ht="15" hidden="1" outlineLevel="1">
      <c r="B43" s="305" t="s">
        <v>213</v>
      </c>
      <c r="C43" s="52">
        <f>GETPIVOTDATA("dato",'[1]tabla dinámica pernocta'!$P$5,"categoría","TOTAL","mes",3,"año",2008)</f>
        <v>1510529</v>
      </c>
      <c r="D43" s="39">
        <f t="shared" si="3"/>
        <v>8.1497757931010287E-2</v>
      </c>
      <c r="E43" s="39">
        <f t="shared" si="1"/>
        <v>6.5267447166076353E-2</v>
      </c>
      <c r="F43" s="306">
        <f>((SUM(C43:C45,C47:C55)/SUM(C56:C58,C60:C68))-1)</f>
        <v>-1.827867058363164E-2</v>
      </c>
    </row>
    <row r="44" spans="2:6" ht="15" hidden="1" outlineLevel="1">
      <c r="B44" s="305" t="s">
        <v>214</v>
      </c>
      <c r="C44" s="52">
        <f>GETPIVOTDATA("dato",'[1]tabla dinámica pernocta'!$P$5,"categoría","TOTAL","mes",2,"año",2008)</f>
        <v>1396701</v>
      </c>
      <c r="D44" s="39">
        <f t="shared" si="3"/>
        <v>-3.7164314096395173E-2</v>
      </c>
      <c r="E44" s="39">
        <f t="shared" si="1"/>
        <v>8.3445489163613606E-2</v>
      </c>
      <c r="F44" s="306">
        <f>((SUM(C44:C45,C47:C56)/SUM(C57:C58,C60:C69))-1)</f>
        <v>-2.5120827258770295E-2</v>
      </c>
    </row>
    <row r="45" spans="2:6" ht="15" hidden="1" outlineLevel="1">
      <c r="B45" s="305" t="s">
        <v>215</v>
      </c>
      <c r="C45" s="52">
        <f>GETPIVOTDATA("dato",'[1]tabla dinámica pernocta'!$P$5,"categoría","TOTAL","mes",1,"año",2008)</f>
        <v>1450612</v>
      </c>
      <c r="D45" s="39" t="s">
        <v>216</v>
      </c>
      <c r="E45" s="39">
        <f t="shared" si="1"/>
        <v>3.2811757979732681E-2</v>
      </c>
      <c r="F45" s="306">
        <f>((SUM(C45,C47:C57)/SUM(C58,C60:C70))-1)</f>
        <v>-3.3679198089319518E-2</v>
      </c>
    </row>
    <row r="46" spans="2:6" ht="15" collapsed="1">
      <c r="B46" s="312">
        <v>2008</v>
      </c>
      <c r="C46" s="59">
        <f>GETPIVOTDATA("dato",'[1]tabla dinámica pernocta'!$P$5,"categoría","TOTAL","año",2008)</f>
        <v>16147728</v>
      </c>
      <c r="D46" s="314"/>
      <c r="E46" s="314">
        <f t="shared" si="1"/>
        <v>1.411494936624913E-2</v>
      </c>
      <c r="F46" s="314">
        <f>C46/C59-1</f>
        <v>1.411494936624913E-2</v>
      </c>
    </row>
    <row r="47" spans="2:6" ht="15" hidden="1" outlineLevel="1">
      <c r="B47" s="305" t="s">
        <v>204</v>
      </c>
      <c r="C47" s="52">
        <f>GETPIVOTDATA("dato",'[1]tabla dinámica pernocta'!$P$5,"categoría","TOTAL","mes",12,"año",2007)</f>
        <v>1360021</v>
      </c>
      <c r="D47" s="39">
        <f t="shared" ref="D47:D57" si="4">IFERROR((C47-C48)/C48,"-")</f>
        <v>-1.7082268221098148E-2</v>
      </c>
      <c r="E47" s="39">
        <f t="shared" si="1"/>
        <v>3.7176087664429813E-2</v>
      </c>
      <c r="F47" s="315" t="s">
        <v>216</v>
      </c>
    </row>
    <row r="48" spans="2:6" ht="15" hidden="1" outlineLevel="1">
      <c r="B48" s="305" t="s">
        <v>205</v>
      </c>
      <c r="C48" s="52">
        <f>GETPIVOTDATA("dato",'[1]tabla dinámica pernocta'!$P$5,"categoría","TOTAL","mes",11,"año",2007)</f>
        <v>1383657</v>
      </c>
      <c r="D48" s="39">
        <f t="shared" si="4"/>
        <v>6.5243895342070347E-3</v>
      </c>
      <c r="E48" s="39">
        <f t="shared" si="1"/>
        <v>4.4559545594549999E-2</v>
      </c>
      <c r="F48" s="315" t="s">
        <v>216</v>
      </c>
    </row>
    <row r="49" spans="2:6" ht="15" hidden="1" outlineLevel="1">
      <c r="B49" s="305" t="s">
        <v>206</v>
      </c>
      <c r="C49" s="52">
        <f>GETPIVOTDATA("dato",'[1]tabla dinámica pernocta'!$P$5,"categoría","TOTAL","mes",10,"año",2007)</f>
        <v>1374688</v>
      </c>
      <c r="D49" s="39">
        <f t="shared" si="4"/>
        <v>0.10555678423078006</v>
      </c>
      <c r="E49" s="39">
        <f t="shared" si="1"/>
        <v>-2.2951285732561888E-2</v>
      </c>
      <c r="F49" s="315" t="s">
        <v>216</v>
      </c>
    </row>
    <row r="50" spans="2:6" ht="15" hidden="1" outlineLevel="1">
      <c r="B50" s="305" t="s">
        <v>207</v>
      </c>
      <c r="C50" s="52">
        <f>GETPIVOTDATA("dato",'[1]tabla dinámica pernocta'!$P$5,"categoría","TOTAL","mes",9,"año",2007)</f>
        <v>1243435</v>
      </c>
      <c r="D50" s="39">
        <f t="shared" si="4"/>
        <v>-0.24044118410627904</v>
      </c>
      <c r="E50" s="39">
        <f t="shared" si="1"/>
        <v>-5.5843672644990794E-2</v>
      </c>
      <c r="F50" s="315" t="s">
        <v>216</v>
      </c>
    </row>
    <row r="51" spans="2:6" ht="15" hidden="1" outlineLevel="1">
      <c r="B51" s="305" t="s">
        <v>208</v>
      </c>
      <c r="C51" s="52">
        <f>GETPIVOTDATA("dato",'[1]tabla dinámica pernocta'!$P$5,"categoría","TOTAL","mes",8,"año",2007)</f>
        <v>1637049</v>
      </c>
      <c r="D51" s="39">
        <f t="shared" si="4"/>
        <v>0.15915082175456335</v>
      </c>
      <c r="E51" s="39">
        <f t="shared" si="1"/>
        <v>-5.6503218570596148E-2</v>
      </c>
      <c r="F51" s="315" t="s">
        <v>216</v>
      </c>
    </row>
    <row r="52" spans="2:6" ht="15" hidden="1" outlineLevel="1">
      <c r="B52" s="305" t="s">
        <v>209</v>
      </c>
      <c r="C52" s="52">
        <f>GETPIVOTDATA("dato",'[1]tabla dinámica pernocta'!$P$5,"categoría","TOTAL","mes",7,"año",2007)</f>
        <v>1412283</v>
      </c>
      <c r="D52" s="39">
        <f t="shared" si="4"/>
        <v>0.28621818340783162</v>
      </c>
      <c r="E52" s="39">
        <f t="shared" si="1"/>
        <v>-7.5245645947676687E-2</v>
      </c>
      <c r="F52" s="315" t="s">
        <v>216</v>
      </c>
    </row>
    <row r="53" spans="2:6" ht="15" hidden="1" outlineLevel="1">
      <c r="B53" s="305" t="s">
        <v>210</v>
      </c>
      <c r="C53" s="52">
        <f>GETPIVOTDATA("dato",'[1]tabla dinámica pernocta'!$P$5,"categoría","TOTAL","mes",6,"año",2007)</f>
        <v>1098012</v>
      </c>
      <c r="D53" s="39">
        <f t="shared" si="4"/>
        <v>9.2364475660833487E-2</v>
      </c>
      <c r="E53" s="39">
        <f t="shared" si="1"/>
        <v>-8.5760246991909317E-2</v>
      </c>
      <c r="F53" s="315" t="s">
        <v>216</v>
      </c>
    </row>
    <row r="54" spans="2:6" ht="15" hidden="1" outlineLevel="1">
      <c r="B54" s="305" t="s">
        <v>211</v>
      </c>
      <c r="C54" s="52">
        <f>GETPIVOTDATA("dato",'[1]tabla dinámica pernocta'!$P$5,"categoría","TOTAL","mes",5,"año",2007)</f>
        <v>1005170</v>
      </c>
      <c r="D54" s="39">
        <f t="shared" si="4"/>
        <v>-0.22501819549985197</v>
      </c>
      <c r="E54" s="39">
        <f t="shared" si="1"/>
        <v>-0.11041549402972928</v>
      </c>
      <c r="F54" s="315" t="s">
        <v>216</v>
      </c>
    </row>
    <row r="55" spans="2:6" ht="15" hidden="1" outlineLevel="1">
      <c r="B55" s="305" t="s">
        <v>212</v>
      </c>
      <c r="C55" s="52">
        <f>GETPIVOTDATA("dato",'[1]tabla dinámica pernocta'!$P$5,"categoría","TOTAL","mes",4,"año",2007)</f>
        <v>1297024</v>
      </c>
      <c r="D55" s="39">
        <f t="shared" si="4"/>
        <v>-8.5302271328036125E-2</v>
      </c>
      <c r="E55" s="39">
        <f t="shared" si="1"/>
        <v>-7.7182934247832624E-2</v>
      </c>
      <c r="F55" s="315" t="s">
        <v>216</v>
      </c>
    </row>
    <row r="56" spans="2:6" ht="15" hidden="1" outlineLevel="1">
      <c r="B56" s="305" t="s">
        <v>213</v>
      </c>
      <c r="C56" s="52">
        <f>GETPIVOTDATA("dato",'[1]tabla dinámica pernocta'!$P$5,"categoría","TOTAL","mes",3,"año",2007)</f>
        <v>1417981</v>
      </c>
      <c r="D56" s="39">
        <f t="shared" si="4"/>
        <v>9.9952758800709626E-2</v>
      </c>
      <c r="E56" s="39">
        <f t="shared" si="1"/>
        <v>-1.4362830554327521E-2</v>
      </c>
      <c r="F56" s="315" t="s">
        <v>216</v>
      </c>
    </row>
    <row r="57" spans="2:6" ht="15" hidden="1" outlineLevel="1">
      <c r="B57" s="305" t="s">
        <v>214</v>
      </c>
      <c r="C57" s="52">
        <f>GETPIVOTDATA("dato",'[1]tabla dinámica pernocta'!$P$5,"categoría","TOTAL","mes",2,"año",2007)</f>
        <v>1289129</v>
      </c>
      <c r="D57" s="39">
        <f t="shared" si="4"/>
        <v>-8.2161467882069905E-2</v>
      </c>
      <c r="E57" s="39">
        <f t="shared" si="1"/>
        <v>-2.6236118266103281E-2</v>
      </c>
      <c r="F57" s="315" t="s">
        <v>216</v>
      </c>
    </row>
    <row r="58" spans="2:6" ht="15" hidden="1" outlineLevel="1">
      <c r="B58" s="305" t="s">
        <v>215</v>
      </c>
      <c r="C58" s="52">
        <f>GETPIVOTDATA("dato",'[1]tabla dinámica pernocta'!$P$5,"categoría","TOTAL","mes",1,"año",2007)</f>
        <v>1404527</v>
      </c>
      <c r="D58" s="39" t="s">
        <v>216</v>
      </c>
      <c r="E58" s="39">
        <f t="shared" si="1"/>
        <v>-4.0809051255802364E-2</v>
      </c>
      <c r="F58" s="315" t="s">
        <v>216</v>
      </c>
    </row>
    <row r="59" spans="2:6" ht="15" collapsed="1">
      <c r="B59" s="312">
        <v>2007</v>
      </c>
      <c r="C59" s="59">
        <f>GETPIVOTDATA("dato",'[1]tabla dinámica pernocta'!$P$5,"categoría","TOTAL","año",2007)</f>
        <v>15922976</v>
      </c>
      <c r="D59" s="314"/>
      <c r="E59" s="314">
        <f t="shared" si="1"/>
        <v>-3.9939435841925164E-2</v>
      </c>
      <c r="F59" s="314">
        <f>C59/C72-1</f>
        <v>-3.9939435841925164E-2</v>
      </c>
    </row>
    <row r="60" spans="2:6" ht="15" hidden="1" outlineLevel="1">
      <c r="B60" s="305" t="s">
        <v>204</v>
      </c>
      <c r="C60" s="52">
        <f>GETPIVOTDATA("dato",'[1]tabla dinámica pernocta'!$P$5,"categoría","TOTAL","mes",12,"año",2006)</f>
        <v>1311273</v>
      </c>
      <c r="D60" s="39">
        <f t="shared" ref="D60:D70" si="5">IFERROR((C60-C61)/C61,"-")</f>
        <v>-1.0085065135071477E-2</v>
      </c>
      <c r="E60" s="315" t="s">
        <v>216</v>
      </c>
      <c r="F60" s="306" t="s">
        <v>216</v>
      </c>
    </row>
    <row r="61" spans="2:6" ht="15" hidden="1" outlineLevel="1">
      <c r="B61" s="305" t="s">
        <v>205</v>
      </c>
      <c r="C61" s="52">
        <f>GETPIVOTDATA("dato",'[1]tabla dinámica pernocta'!$P$5,"categoría","TOTAL","mes",11,"año",2006)</f>
        <v>1324632</v>
      </c>
      <c r="D61" s="39">
        <f t="shared" si="5"/>
        <v>-5.8528195141366618E-2</v>
      </c>
      <c r="E61" s="315" t="s">
        <v>216</v>
      </c>
      <c r="F61" s="306" t="s">
        <v>216</v>
      </c>
    </row>
    <row r="62" spans="2:6" ht="15" hidden="1" outlineLevel="1">
      <c r="B62" s="305" t="s">
        <v>206</v>
      </c>
      <c r="C62" s="52">
        <f>GETPIVOTDATA("dato",'[1]tabla dinámica pernocta'!$P$5,"categoría","TOTAL","mes",10,"año",2006)</f>
        <v>1406980</v>
      </c>
      <c r="D62" s="39">
        <f t="shared" si="5"/>
        <v>6.8338167625932061E-2</v>
      </c>
      <c r="E62" s="315" t="s">
        <v>216</v>
      </c>
      <c r="F62" s="306" t="s">
        <v>216</v>
      </c>
    </row>
    <row r="63" spans="2:6" ht="15" hidden="1" outlineLevel="1">
      <c r="B63" s="305" t="s">
        <v>207</v>
      </c>
      <c r="C63" s="52">
        <f>GETPIVOTDATA("dato",'[1]tabla dinámica pernocta'!$P$5,"categoría","TOTAL","mes",9,"año",2006)</f>
        <v>1316980</v>
      </c>
      <c r="D63" s="39">
        <f t="shared" si="5"/>
        <v>-0.24097177836039346</v>
      </c>
      <c r="E63" s="315" t="s">
        <v>216</v>
      </c>
      <c r="F63" s="306" t="s">
        <v>216</v>
      </c>
    </row>
    <row r="64" spans="2:6" ht="15" hidden="1" outlineLevel="1">
      <c r="B64" s="305" t="s">
        <v>208</v>
      </c>
      <c r="C64" s="52">
        <f>GETPIVOTDATA("dato",'[1]tabla dinámica pernocta'!$P$5,"categoría","TOTAL","mes",8,"año",2006)</f>
        <v>1735087</v>
      </c>
      <c r="D64" s="39">
        <f t="shared" si="5"/>
        <v>0.13612445799431377</v>
      </c>
      <c r="E64" s="315" t="s">
        <v>216</v>
      </c>
      <c r="F64" s="306" t="s">
        <v>216</v>
      </c>
    </row>
    <row r="65" spans="2:6" ht="15" hidden="1" outlineLevel="1">
      <c r="B65" s="305" t="s">
        <v>209</v>
      </c>
      <c r="C65" s="52">
        <f>GETPIVOTDATA("dato",'[1]tabla dinámica pernocta'!$P$5,"categoría","TOTAL","mes",7,"año",2006)</f>
        <v>1527198</v>
      </c>
      <c r="D65" s="39">
        <f t="shared" si="5"/>
        <v>0.27159368232264319</v>
      </c>
      <c r="E65" s="315" t="s">
        <v>216</v>
      </c>
      <c r="F65" s="306" t="s">
        <v>216</v>
      </c>
    </row>
    <row r="66" spans="2:6" ht="15" hidden="1" outlineLevel="1">
      <c r="B66" s="305" t="s">
        <v>210</v>
      </c>
      <c r="C66" s="52">
        <f>GETPIVOTDATA("dato",'[1]tabla dinámica pernocta'!$P$5,"categoría","TOTAL","mes",6,"año",2006)</f>
        <v>1201011</v>
      </c>
      <c r="D66" s="39">
        <f t="shared" si="5"/>
        <v>6.290555537855376E-2</v>
      </c>
      <c r="E66" s="315" t="s">
        <v>216</v>
      </c>
      <c r="F66" s="306" t="s">
        <v>216</v>
      </c>
    </row>
    <row r="67" spans="2:6" ht="15" hidden="1" outlineLevel="1">
      <c r="B67" s="305" t="s">
        <v>211</v>
      </c>
      <c r="C67" s="52">
        <f>GETPIVOTDATA("dato",'[1]tabla dinámica pernocta'!$P$5,"categoría","TOTAL","mes",5,"año",2006)</f>
        <v>1129932</v>
      </c>
      <c r="D67" s="39">
        <f t="shared" si="5"/>
        <v>-0.19606689410567732</v>
      </c>
      <c r="E67" s="315" t="s">
        <v>216</v>
      </c>
      <c r="F67" s="306" t="s">
        <v>216</v>
      </c>
    </row>
    <row r="68" spans="2:6" ht="15" hidden="1" outlineLevel="1">
      <c r="B68" s="305" t="s">
        <v>212</v>
      </c>
      <c r="C68" s="52">
        <f>GETPIVOTDATA("dato",'[1]tabla dinámica pernocta'!$P$5,"categoría","TOTAL","mes",4,"año",2006)</f>
        <v>1405505</v>
      </c>
      <c r="D68" s="39">
        <f t="shared" si="5"/>
        <v>-2.30348856284112E-2</v>
      </c>
      <c r="E68" s="315" t="s">
        <v>216</v>
      </c>
      <c r="F68" s="306" t="s">
        <v>216</v>
      </c>
    </row>
    <row r="69" spans="2:6" ht="15" hidden="1" outlineLevel="1">
      <c r="B69" s="305" t="s">
        <v>213</v>
      </c>
      <c r="C69" s="52">
        <f>GETPIVOTDATA("dato",'[1]tabla dinámica pernocta'!$P$5,"categoría","TOTAL","mes",3,"año",2006)</f>
        <v>1438644</v>
      </c>
      <c r="D69" s="39">
        <f t="shared" si="5"/>
        <v>8.6702390430422507E-2</v>
      </c>
      <c r="E69" s="315" t="s">
        <v>216</v>
      </c>
      <c r="F69" s="306" t="s">
        <v>216</v>
      </c>
    </row>
    <row r="70" spans="2:6" ht="15" hidden="1" outlineLevel="1">
      <c r="B70" s="305" t="s">
        <v>214</v>
      </c>
      <c r="C70" s="52">
        <f>GETPIVOTDATA("dato",'[1]tabla dinámica pernocta'!$P$5,"categoría","TOTAL","mes",2,"año",2006)</f>
        <v>1323862</v>
      </c>
      <c r="D70" s="39">
        <f t="shared" si="5"/>
        <v>-9.5897446053802446E-2</v>
      </c>
      <c r="E70" s="315" t="s">
        <v>216</v>
      </c>
      <c r="F70" s="306" t="s">
        <v>216</v>
      </c>
    </row>
    <row r="71" spans="2:6" ht="15" hidden="1" outlineLevel="1">
      <c r="B71" s="305" t="s">
        <v>215</v>
      </c>
      <c r="C71" s="52">
        <f>GETPIVOTDATA("dato",'[1]tabla dinámica pernocta'!$P$5,"categoría","TOTAL","mes",1,"año",2006)</f>
        <v>1464283</v>
      </c>
      <c r="D71" s="315" t="s">
        <v>216</v>
      </c>
      <c r="E71" s="315" t="s">
        <v>216</v>
      </c>
      <c r="F71" s="306" t="s">
        <v>216</v>
      </c>
    </row>
    <row r="72" spans="2:6" ht="15" collapsed="1">
      <c r="B72" s="312">
        <v>2006</v>
      </c>
      <c r="C72" s="59">
        <f>GETPIVOTDATA("dato",'[1]tabla dinámica pernocta'!$P$5,"categoría","TOTAL","año",2006)</f>
        <v>16585387</v>
      </c>
      <c r="D72" s="314"/>
      <c r="E72" s="316" t="s">
        <v>216</v>
      </c>
      <c r="F72" s="316" t="s">
        <v>216</v>
      </c>
    </row>
    <row r="73" spans="2:6">
      <c r="B73" s="317" t="s">
        <v>217</v>
      </c>
      <c r="C73" s="318"/>
      <c r="D73" s="318"/>
      <c r="E73" s="318"/>
      <c r="F73" s="318"/>
    </row>
  </sheetData>
  <mergeCells count="2">
    <mergeCell ref="B6:F6"/>
    <mergeCell ref="B73:F73"/>
  </mergeCells>
  <hyperlinks>
    <hyperlink ref="H6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5" sqref="B25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15" customHeight="1" thickBot="1"/>
    <row r="30" spans="2:12" ht="30" customHeight="1" thickBot="1">
      <c r="I30" s="60" t="s">
        <v>51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36">
    <tabColor theme="4" tint="-0.499984740745262"/>
    <pageSetUpPr autoPageBreaks="0" fitToPage="1"/>
  </sheetPr>
  <dimension ref="B7:H80"/>
  <sheetViews>
    <sheetView showGridLines="0" showRowColHeaders="0" showOutlineSymbols="0" zoomScaleNormal="100" workbookViewId="0">
      <selection activeCell="B25" sqref="B25"/>
    </sheetView>
  </sheetViews>
  <sheetFormatPr baseColWidth="10" defaultRowHeight="12.75"/>
  <cols>
    <col min="1" max="2" width="11.42578125" style="2"/>
    <col min="3" max="3" width="12" style="2" bestFit="1" customWidth="1"/>
    <col min="4" max="4" width="11.42578125" style="2"/>
    <col min="5" max="5" width="45.140625" style="2" customWidth="1"/>
    <col min="6" max="6" width="33.140625" style="2" customWidth="1"/>
    <col min="7" max="258" width="11.42578125" style="2"/>
    <col min="259" max="259" width="12" style="2" bestFit="1" customWidth="1"/>
    <col min="260" max="260" width="11.42578125" style="2"/>
    <col min="261" max="261" width="45.140625" style="2" customWidth="1"/>
    <col min="262" max="262" width="11.85546875" style="2" customWidth="1"/>
    <col min="263" max="514" width="11.42578125" style="2"/>
    <col min="515" max="515" width="12" style="2" bestFit="1" customWidth="1"/>
    <col min="516" max="516" width="11.42578125" style="2"/>
    <col min="517" max="517" width="45.140625" style="2" customWidth="1"/>
    <col min="518" max="518" width="11.85546875" style="2" customWidth="1"/>
    <col min="519" max="770" width="11.42578125" style="2"/>
    <col min="771" max="771" width="12" style="2" bestFit="1" customWidth="1"/>
    <col min="772" max="772" width="11.42578125" style="2"/>
    <col min="773" max="773" width="45.140625" style="2" customWidth="1"/>
    <col min="774" max="774" width="11.85546875" style="2" customWidth="1"/>
    <col min="775" max="1026" width="11.42578125" style="2"/>
    <col min="1027" max="1027" width="12" style="2" bestFit="1" customWidth="1"/>
    <col min="1028" max="1028" width="11.42578125" style="2"/>
    <col min="1029" max="1029" width="45.140625" style="2" customWidth="1"/>
    <col min="1030" max="1030" width="11.85546875" style="2" customWidth="1"/>
    <col min="1031" max="1282" width="11.42578125" style="2"/>
    <col min="1283" max="1283" width="12" style="2" bestFit="1" customWidth="1"/>
    <col min="1284" max="1284" width="11.42578125" style="2"/>
    <col min="1285" max="1285" width="45.140625" style="2" customWidth="1"/>
    <col min="1286" max="1286" width="11.85546875" style="2" customWidth="1"/>
    <col min="1287" max="1538" width="11.42578125" style="2"/>
    <col min="1539" max="1539" width="12" style="2" bestFit="1" customWidth="1"/>
    <col min="1540" max="1540" width="11.42578125" style="2"/>
    <col min="1541" max="1541" width="45.140625" style="2" customWidth="1"/>
    <col min="1542" max="1542" width="11.85546875" style="2" customWidth="1"/>
    <col min="1543" max="1794" width="11.42578125" style="2"/>
    <col min="1795" max="1795" width="12" style="2" bestFit="1" customWidth="1"/>
    <col min="1796" max="1796" width="11.42578125" style="2"/>
    <col min="1797" max="1797" width="45.140625" style="2" customWidth="1"/>
    <col min="1798" max="1798" width="11.85546875" style="2" customWidth="1"/>
    <col min="1799" max="2050" width="11.42578125" style="2"/>
    <col min="2051" max="2051" width="12" style="2" bestFit="1" customWidth="1"/>
    <col min="2052" max="2052" width="11.42578125" style="2"/>
    <col min="2053" max="2053" width="45.140625" style="2" customWidth="1"/>
    <col min="2054" max="2054" width="11.85546875" style="2" customWidth="1"/>
    <col min="2055" max="2306" width="11.42578125" style="2"/>
    <col min="2307" max="2307" width="12" style="2" bestFit="1" customWidth="1"/>
    <col min="2308" max="2308" width="11.42578125" style="2"/>
    <col min="2309" max="2309" width="45.140625" style="2" customWidth="1"/>
    <col min="2310" max="2310" width="11.85546875" style="2" customWidth="1"/>
    <col min="2311" max="2562" width="11.42578125" style="2"/>
    <col min="2563" max="2563" width="12" style="2" bestFit="1" customWidth="1"/>
    <col min="2564" max="2564" width="11.42578125" style="2"/>
    <col min="2565" max="2565" width="45.140625" style="2" customWidth="1"/>
    <col min="2566" max="2566" width="11.85546875" style="2" customWidth="1"/>
    <col min="2567" max="2818" width="11.42578125" style="2"/>
    <col min="2819" max="2819" width="12" style="2" bestFit="1" customWidth="1"/>
    <col min="2820" max="2820" width="11.42578125" style="2"/>
    <col min="2821" max="2821" width="45.140625" style="2" customWidth="1"/>
    <col min="2822" max="2822" width="11.85546875" style="2" customWidth="1"/>
    <col min="2823" max="3074" width="11.42578125" style="2"/>
    <col min="3075" max="3075" width="12" style="2" bestFit="1" customWidth="1"/>
    <col min="3076" max="3076" width="11.42578125" style="2"/>
    <col min="3077" max="3077" width="45.140625" style="2" customWidth="1"/>
    <col min="3078" max="3078" width="11.85546875" style="2" customWidth="1"/>
    <col min="3079" max="3330" width="11.42578125" style="2"/>
    <col min="3331" max="3331" width="12" style="2" bestFit="1" customWidth="1"/>
    <col min="3332" max="3332" width="11.42578125" style="2"/>
    <col min="3333" max="3333" width="45.140625" style="2" customWidth="1"/>
    <col min="3334" max="3334" width="11.85546875" style="2" customWidth="1"/>
    <col min="3335" max="3586" width="11.42578125" style="2"/>
    <col min="3587" max="3587" width="12" style="2" bestFit="1" customWidth="1"/>
    <col min="3588" max="3588" width="11.42578125" style="2"/>
    <col min="3589" max="3589" width="45.140625" style="2" customWidth="1"/>
    <col min="3590" max="3590" width="11.85546875" style="2" customWidth="1"/>
    <col min="3591" max="3842" width="11.42578125" style="2"/>
    <col min="3843" max="3843" width="12" style="2" bestFit="1" customWidth="1"/>
    <col min="3844" max="3844" width="11.42578125" style="2"/>
    <col min="3845" max="3845" width="45.140625" style="2" customWidth="1"/>
    <col min="3846" max="3846" width="11.85546875" style="2" customWidth="1"/>
    <col min="3847" max="4098" width="11.42578125" style="2"/>
    <col min="4099" max="4099" width="12" style="2" bestFit="1" customWidth="1"/>
    <col min="4100" max="4100" width="11.42578125" style="2"/>
    <col min="4101" max="4101" width="45.140625" style="2" customWidth="1"/>
    <col min="4102" max="4102" width="11.85546875" style="2" customWidth="1"/>
    <col min="4103" max="4354" width="11.42578125" style="2"/>
    <col min="4355" max="4355" width="12" style="2" bestFit="1" customWidth="1"/>
    <col min="4356" max="4356" width="11.42578125" style="2"/>
    <col min="4357" max="4357" width="45.140625" style="2" customWidth="1"/>
    <col min="4358" max="4358" width="11.85546875" style="2" customWidth="1"/>
    <col min="4359" max="4610" width="11.42578125" style="2"/>
    <col min="4611" max="4611" width="12" style="2" bestFit="1" customWidth="1"/>
    <col min="4612" max="4612" width="11.42578125" style="2"/>
    <col min="4613" max="4613" width="45.140625" style="2" customWidth="1"/>
    <col min="4614" max="4614" width="11.85546875" style="2" customWidth="1"/>
    <col min="4615" max="4866" width="11.42578125" style="2"/>
    <col min="4867" max="4867" width="12" style="2" bestFit="1" customWidth="1"/>
    <col min="4868" max="4868" width="11.42578125" style="2"/>
    <col min="4869" max="4869" width="45.140625" style="2" customWidth="1"/>
    <col min="4870" max="4870" width="11.85546875" style="2" customWidth="1"/>
    <col min="4871" max="5122" width="11.42578125" style="2"/>
    <col min="5123" max="5123" width="12" style="2" bestFit="1" customWidth="1"/>
    <col min="5124" max="5124" width="11.42578125" style="2"/>
    <col min="5125" max="5125" width="45.140625" style="2" customWidth="1"/>
    <col min="5126" max="5126" width="11.85546875" style="2" customWidth="1"/>
    <col min="5127" max="5378" width="11.42578125" style="2"/>
    <col min="5379" max="5379" width="12" style="2" bestFit="1" customWidth="1"/>
    <col min="5380" max="5380" width="11.42578125" style="2"/>
    <col min="5381" max="5381" width="45.140625" style="2" customWidth="1"/>
    <col min="5382" max="5382" width="11.85546875" style="2" customWidth="1"/>
    <col min="5383" max="5634" width="11.42578125" style="2"/>
    <col min="5635" max="5635" width="12" style="2" bestFit="1" customWidth="1"/>
    <col min="5636" max="5636" width="11.42578125" style="2"/>
    <col min="5637" max="5637" width="45.140625" style="2" customWidth="1"/>
    <col min="5638" max="5638" width="11.85546875" style="2" customWidth="1"/>
    <col min="5639" max="5890" width="11.42578125" style="2"/>
    <col min="5891" max="5891" width="12" style="2" bestFit="1" customWidth="1"/>
    <col min="5892" max="5892" width="11.42578125" style="2"/>
    <col min="5893" max="5893" width="45.140625" style="2" customWidth="1"/>
    <col min="5894" max="5894" width="11.85546875" style="2" customWidth="1"/>
    <col min="5895" max="6146" width="11.42578125" style="2"/>
    <col min="6147" max="6147" width="12" style="2" bestFit="1" customWidth="1"/>
    <col min="6148" max="6148" width="11.42578125" style="2"/>
    <col min="6149" max="6149" width="45.140625" style="2" customWidth="1"/>
    <col min="6150" max="6150" width="11.85546875" style="2" customWidth="1"/>
    <col min="6151" max="6402" width="11.42578125" style="2"/>
    <col min="6403" max="6403" width="12" style="2" bestFit="1" customWidth="1"/>
    <col min="6404" max="6404" width="11.42578125" style="2"/>
    <col min="6405" max="6405" width="45.140625" style="2" customWidth="1"/>
    <col min="6406" max="6406" width="11.85546875" style="2" customWidth="1"/>
    <col min="6407" max="6658" width="11.42578125" style="2"/>
    <col min="6659" max="6659" width="12" style="2" bestFit="1" customWidth="1"/>
    <col min="6660" max="6660" width="11.42578125" style="2"/>
    <col min="6661" max="6661" width="45.140625" style="2" customWidth="1"/>
    <col min="6662" max="6662" width="11.85546875" style="2" customWidth="1"/>
    <col min="6663" max="6914" width="11.42578125" style="2"/>
    <col min="6915" max="6915" width="12" style="2" bestFit="1" customWidth="1"/>
    <col min="6916" max="6916" width="11.42578125" style="2"/>
    <col min="6917" max="6917" width="45.140625" style="2" customWidth="1"/>
    <col min="6918" max="6918" width="11.85546875" style="2" customWidth="1"/>
    <col min="6919" max="7170" width="11.42578125" style="2"/>
    <col min="7171" max="7171" width="12" style="2" bestFit="1" customWidth="1"/>
    <col min="7172" max="7172" width="11.42578125" style="2"/>
    <col min="7173" max="7173" width="45.140625" style="2" customWidth="1"/>
    <col min="7174" max="7174" width="11.85546875" style="2" customWidth="1"/>
    <col min="7175" max="7426" width="11.42578125" style="2"/>
    <col min="7427" max="7427" width="12" style="2" bestFit="1" customWidth="1"/>
    <col min="7428" max="7428" width="11.42578125" style="2"/>
    <col min="7429" max="7429" width="45.140625" style="2" customWidth="1"/>
    <col min="7430" max="7430" width="11.85546875" style="2" customWidth="1"/>
    <col min="7431" max="7682" width="11.42578125" style="2"/>
    <col min="7683" max="7683" width="12" style="2" bestFit="1" customWidth="1"/>
    <col min="7684" max="7684" width="11.42578125" style="2"/>
    <col min="7685" max="7685" width="45.140625" style="2" customWidth="1"/>
    <col min="7686" max="7686" width="11.85546875" style="2" customWidth="1"/>
    <col min="7687" max="7938" width="11.42578125" style="2"/>
    <col min="7939" max="7939" width="12" style="2" bestFit="1" customWidth="1"/>
    <col min="7940" max="7940" width="11.42578125" style="2"/>
    <col min="7941" max="7941" width="45.140625" style="2" customWidth="1"/>
    <col min="7942" max="7942" width="11.85546875" style="2" customWidth="1"/>
    <col min="7943" max="8194" width="11.42578125" style="2"/>
    <col min="8195" max="8195" width="12" style="2" bestFit="1" customWidth="1"/>
    <col min="8196" max="8196" width="11.42578125" style="2"/>
    <col min="8197" max="8197" width="45.140625" style="2" customWidth="1"/>
    <col min="8198" max="8198" width="11.85546875" style="2" customWidth="1"/>
    <col min="8199" max="8450" width="11.42578125" style="2"/>
    <col min="8451" max="8451" width="12" style="2" bestFit="1" customWidth="1"/>
    <col min="8452" max="8452" width="11.42578125" style="2"/>
    <col min="8453" max="8453" width="45.140625" style="2" customWidth="1"/>
    <col min="8454" max="8454" width="11.85546875" style="2" customWidth="1"/>
    <col min="8455" max="8706" width="11.42578125" style="2"/>
    <col min="8707" max="8707" width="12" style="2" bestFit="1" customWidth="1"/>
    <col min="8708" max="8708" width="11.42578125" style="2"/>
    <col min="8709" max="8709" width="45.140625" style="2" customWidth="1"/>
    <col min="8710" max="8710" width="11.85546875" style="2" customWidth="1"/>
    <col min="8711" max="8962" width="11.42578125" style="2"/>
    <col min="8963" max="8963" width="12" style="2" bestFit="1" customWidth="1"/>
    <col min="8964" max="8964" width="11.42578125" style="2"/>
    <col min="8965" max="8965" width="45.140625" style="2" customWidth="1"/>
    <col min="8966" max="8966" width="11.85546875" style="2" customWidth="1"/>
    <col min="8967" max="9218" width="11.42578125" style="2"/>
    <col min="9219" max="9219" width="12" style="2" bestFit="1" customWidth="1"/>
    <col min="9220" max="9220" width="11.42578125" style="2"/>
    <col min="9221" max="9221" width="45.140625" style="2" customWidth="1"/>
    <col min="9222" max="9222" width="11.85546875" style="2" customWidth="1"/>
    <col min="9223" max="9474" width="11.42578125" style="2"/>
    <col min="9475" max="9475" width="12" style="2" bestFit="1" customWidth="1"/>
    <col min="9476" max="9476" width="11.42578125" style="2"/>
    <col min="9477" max="9477" width="45.140625" style="2" customWidth="1"/>
    <col min="9478" max="9478" width="11.85546875" style="2" customWidth="1"/>
    <col min="9479" max="9730" width="11.42578125" style="2"/>
    <col min="9731" max="9731" width="12" style="2" bestFit="1" customWidth="1"/>
    <col min="9732" max="9732" width="11.42578125" style="2"/>
    <col min="9733" max="9733" width="45.140625" style="2" customWidth="1"/>
    <col min="9734" max="9734" width="11.85546875" style="2" customWidth="1"/>
    <col min="9735" max="9986" width="11.42578125" style="2"/>
    <col min="9987" max="9987" width="12" style="2" bestFit="1" customWidth="1"/>
    <col min="9988" max="9988" width="11.42578125" style="2"/>
    <col min="9989" max="9989" width="45.140625" style="2" customWidth="1"/>
    <col min="9990" max="9990" width="11.85546875" style="2" customWidth="1"/>
    <col min="9991" max="10242" width="11.42578125" style="2"/>
    <col min="10243" max="10243" width="12" style="2" bestFit="1" customWidth="1"/>
    <col min="10244" max="10244" width="11.42578125" style="2"/>
    <col min="10245" max="10245" width="45.140625" style="2" customWidth="1"/>
    <col min="10246" max="10246" width="11.85546875" style="2" customWidth="1"/>
    <col min="10247" max="10498" width="11.42578125" style="2"/>
    <col min="10499" max="10499" width="12" style="2" bestFit="1" customWidth="1"/>
    <col min="10500" max="10500" width="11.42578125" style="2"/>
    <col min="10501" max="10501" width="45.140625" style="2" customWidth="1"/>
    <col min="10502" max="10502" width="11.85546875" style="2" customWidth="1"/>
    <col min="10503" max="10754" width="11.42578125" style="2"/>
    <col min="10755" max="10755" width="12" style="2" bestFit="1" customWidth="1"/>
    <col min="10756" max="10756" width="11.42578125" style="2"/>
    <col min="10757" max="10757" width="45.140625" style="2" customWidth="1"/>
    <col min="10758" max="10758" width="11.85546875" style="2" customWidth="1"/>
    <col min="10759" max="11010" width="11.42578125" style="2"/>
    <col min="11011" max="11011" width="12" style="2" bestFit="1" customWidth="1"/>
    <col min="11012" max="11012" width="11.42578125" style="2"/>
    <col min="11013" max="11013" width="45.140625" style="2" customWidth="1"/>
    <col min="11014" max="11014" width="11.85546875" style="2" customWidth="1"/>
    <col min="11015" max="11266" width="11.42578125" style="2"/>
    <col min="11267" max="11267" width="12" style="2" bestFit="1" customWidth="1"/>
    <col min="11268" max="11268" width="11.42578125" style="2"/>
    <col min="11269" max="11269" width="45.140625" style="2" customWidth="1"/>
    <col min="11270" max="11270" width="11.85546875" style="2" customWidth="1"/>
    <col min="11271" max="11522" width="11.42578125" style="2"/>
    <col min="11523" max="11523" width="12" style="2" bestFit="1" customWidth="1"/>
    <col min="11524" max="11524" width="11.42578125" style="2"/>
    <col min="11525" max="11525" width="45.140625" style="2" customWidth="1"/>
    <col min="11526" max="11526" width="11.85546875" style="2" customWidth="1"/>
    <col min="11527" max="11778" width="11.42578125" style="2"/>
    <col min="11779" max="11779" width="12" style="2" bestFit="1" customWidth="1"/>
    <col min="11780" max="11780" width="11.42578125" style="2"/>
    <col min="11781" max="11781" width="45.140625" style="2" customWidth="1"/>
    <col min="11782" max="11782" width="11.85546875" style="2" customWidth="1"/>
    <col min="11783" max="12034" width="11.42578125" style="2"/>
    <col min="12035" max="12035" width="12" style="2" bestFit="1" customWidth="1"/>
    <col min="12036" max="12036" width="11.42578125" style="2"/>
    <col min="12037" max="12037" width="45.140625" style="2" customWidth="1"/>
    <col min="12038" max="12038" width="11.85546875" style="2" customWidth="1"/>
    <col min="12039" max="12290" width="11.42578125" style="2"/>
    <col min="12291" max="12291" width="12" style="2" bestFit="1" customWidth="1"/>
    <col min="12292" max="12292" width="11.42578125" style="2"/>
    <col min="12293" max="12293" width="45.140625" style="2" customWidth="1"/>
    <col min="12294" max="12294" width="11.85546875" style="2" customWidth="1"/>
    <col min="12295" max="12546" width="11.42578125" style="2"/>
    <col min="12547" max="12547" width="12" style="2" bestFit="1" customWidth="1"/>
    <col min="12548" max="12548" width="11.42578125" style="2"/>
    <col min="12549" max="12549" width="45.140625" style="2" customWidth="1"/>
    <col min="12550" max="12550" width="11.85546875" style="2" customWidth="1"/>
    <col min="12551" max="12802" width="11.42578125" style="2"/>
    <col min="12803" max="12803" width="12" style="2" bestFit="1" customWidth="1"/>
    <col min="12804" max="12804" width="11.42578125" style="2"/>
    <col min="12805" max="12805" width="45.140625" style="2" customWidth="1"/>
    <col min="12806" max="12806" width="11.85546875" style="2" customWidth="1"/>
    <col min="12807" max="13058" width="11.42578125" style="2"/>
    <col min="13059" max="13059" width="12" style="2" bestFit="1" customWidth="1"/>
    <col min="13060" max="13060" width="11.42578125" style="2"/>
    <col min="13061" max="13061" width="45.140625" style="2" customWidth="1"/>
    <col min="13062" max="13062" width="11.85546875" style="2" customWidth="1"/>
    <col min="13063" max="13314" width="11.42578125" style="2"/>
    <col min="13315" max="13315" width="12" style="2" bestFit="1" customWidth="1"/>
    <col min="13316" max="13316" width="11.42578125" style="2"/>
    <col min="13317" max="13317" width="45.140625" style="2" customWidth="1"/>
    <col min="13318" max="13318" width="11.85546875" style="2" customWidth="1"/>
    <col min="13319" max="13570" width="11.42578125" style="2"/>
    <col min="13571" max="13571" width="12" style="2" bestFit="1" customWidth="1"/>
    <col min="13572" max="13572" width="11.42578125" style="2"/>
    <col min="13573" max="13573" width="45.140625" style="2" customWidth="1"/>
    <col min="13574" max="13574" width="11.85546875" style="2" customWidth="1"/>
    <col min="13575" max="13826" width="11.42578125" style="2"/>
    <col min="13827" max="13827" width="12" style="2" bestFit="1" customWidth="1"/>
    <col min="13828" max="13828" width="11.42578125" style="2"/>
    <col min="13829" max="13829" width="45.140625" style="2" customWidth="1"/>
    <col min="13830" max="13830" width="11.85546875" style="2" customWidth="1"/>
    <col min="13831" max="14082" width="11.42578125" style="2"/>
    <col min="14083" max="14083" width="12" style="2" bestFit="1" customWidth="1"/>
    <col min="14084" max="14084" width="11.42578125" style="2"/>
    <col min="14085" max="14085" width="45.140625" style="2" customWidth="1"/>
    <col min="14086" max="14086" width="11.85546875" style="2" customWidth="1"/>
    <col min="14087" max="14338" width="11.42578125" style="2"/>
    <col min="14339" max="14339" width="12" style="2" bestFit="1" customWidth="1"/>
    <col min="14340" max="14340" width="11.42578125" style="2"/>
    <col min="14341" max="14341" width="45.140625" style="2" customWidth="1"/>
    <col min="14342" max="14342" width="11.85546875" style="2" customWidth="1"/>
    <col min="14343" max="14594" width="11.42578125" style="2"/>
    <col min="14595" max="14595" width="12" style="2" bestFit="1" customWidth="1"/>
    <col min="14596" max="14596" width="11.42578125" style="2"/>
    <col min="14597" max="14597" width="45.140625" style="2" customWidth="1"/>
    <col min="14598" max="14598" width="11.85546875" style="2" customWidth="1"/>
    <col min="14599" max="14850" width="11.42578125" style="2"/>
    <col min="14851" max="14851" width="12" style="2" bestFit="1" customWidth="1"/>
    <col min="14852" max="14852" width="11.42578125" style="2"/>
    <col min="14853" max="14853" width="45.140625" style="2" customWidth="1"/>
    <col min="14854" max="14854" width="11.85546875" style="2" customWidth="1"/>
    <col min="14855" max="15106" width="11.42578125" style="2"/>
    <col min="15107" max="15107" width="12" style="2" bestFit="1" customWidth="1"/>
    <col min="15108" max="15108" width="11.42578125" style="2"/>
    <col min="15109" max="15109" width="45.140625" style="2" customWidth="1"/>
    <col min="15110" max="15110" width="11.85546875" style="2" customWidth="1"/>
    <col min="15111" max="15362" width="11.42578125" style="2"/>
    <col min="15363" max="15363" width="12" style="2" bestFit="1" customWidth="1"/>
    <col min="15364" max="15364" width="11.42578125" style="2"/>
    <col min="15365" max="15365" width="45.140625" style="2" customWidth="1"/>
    <col min="15366" max="15366" width="11.85546875" style="2" customWidth="1"/>
    <col min="15367" max="15618" width="11.42578125" style="2"/>
    <col min="15619" max="15619" width="12" style="2" bestFit="1" customWidth="1"/>
    <col min="15620" max="15620" width="11.42578125" style="2"/>
    <col min="15621" max="15621" width="45.140625" style="2" customWidth="1"/>
    <col min="15622" max="15622" width="11.85546875" style="2" customWidth="1"/>
    <col min="15623" max="15874" width="11.42578125" style="2"/>
    <col min="15875" max="15875" width="12" style="2" bestFit="1" customWidth="1"/>
    <col min="15876" max="15876" width="11.42578125" style="2"/>
    <col min="15877" max="15877" width="45.140625" style="2" customWidth="1"/>
    <col min="15878" max="15878" width="11.85546875" style="2" customWidth="1"/>
    <col min="15879" max="16130" width="11.42578125" style="2"/>
    <col min="16131" max="16131" width="12" style="2" bestFit="1" customWidth="1"/>
    <col min="16132" max="16132" width="11.42578125" style="2"/>
    <col min="16133" max="16133" width="45.140625" style="2" customWidth="1"/>
    <col min="16134" max="16134" width="11.85546875" style="2" customWidth="1"/>
    <col min="16135" max="16384" width="11.42578125" style="2"/>
  </cols>
  <sheetData>
    <row r="7" spans="3:6" ht="15" customHeight="1"/>
    <row r="8" spans="3:6" ht="30" customHeight="1">
      <c r="C8" s="14" t="s">
        <v>3</v>
      </c>
      <c r="D8" s="14"/>
      <c r="E8" s="14"/>
      <c r="F8" s="14"/>
    </row>
    <row r="9" spans="3:6" ht="24.95" customHeight="1">
      <c r="C9" s="15"/>
      <c r="D9" s="1"/>
      <c r="E9" s="1"/>
      <c r="F9" s="1"/>
    </row>
    <row r="10" spans="3:6" ht="20.100000000000001" customHeight="1">
      <c r="C10" s="15"/>
      <c r="D10" s="24" t="s">
        <v>19</v>
      </c>
      <c r="E10" s="25"/>
      <c r="F10" s="25"/>
    </row>
    <row r="11" spans="3:6" ht="20.100000000000001" customHeight="1">
      <c r="C11" s="15"/>
      <c r="D11" s="1"/>
      <c r="E11" s="1"/>
      <c r="F11" s="1"/>
    </row>
    <row r="12" spans="3:6" ht="20.100000000000001" customHeight="1">
      <c r="C12" s="1"/>
      <c r="D12" s="16" t="s">
        <v>10</v>
      </c>
      <c r="E12" s="6"/>
      <c r="F12" s="6"/>
    </row>
    <row r="13" spans="3:6" ht="18" customHeight="1">
      <c r="C13" s="1"/>
      <c r="D13" s="1"/>
      <c r="E13" s="17"/>
      <c r="F13" s="1"/>
    </row>
    <row r="14" spans="3:6" ht="18" customHeight="1">
      <c r="C14" s="1"/>
      <c r="D14" s="1"/>
      <c r="E14" s="18" t="s">
        <v>251</v>
      </c>
      <c r="F14" s="1"/>
    </row>
    <row r="15" spans="3:6" ht="18" customHeight="1">
      <c r="C15" s="1"/>
      <c r="D15" s="1"/>
      <c r="E15" s="18" t="s">
        <v>220</v>
      </c>
      <c r="F15" s="1"/>
    </row>
    <row r="16" spans="3:6" ht="18" customHeight="1">
      <c r="C16" s="1"/>
      <c r="D16" s="1"/>
      <c r="E16" s="18" t="s">
        <v>221</v>
      </c>
      <c r="F16" s="1"/>
    </row>
    <row r="17" spans="2:8" ht="18" customHeight="1">
      <c r="C17" s="1"/>
      <c r="D17" s="1"/>
      <c r="E17" s="18" t="s">
        <v>222</v>
      </c>
      <c r="F17" s="1"/>
    </row>
    <row r="18" spans="2:8" ht="18" customHeight="1">
      <c r="C18" s="1"/>
      <c r="D18" s="1"/>
      <c r="E18" s="18" t="s">
        <v>252</v>
      </c>
      <c r="F18" s="1"/>
    </row>
    <row r="19" spans="2:8" ht="20.100000000000001" customHeight="1">
      <c r="C19" s="1"/>
      <c r="D19" s="1"/>
      <c r="E19" s="17"/>
      <c r="F19" s="1"/>
    </row>
    <row r="20" spans="2:8" ht="20.100000000000001" customHeight="1">
      <c r="C20" s="15"/>
      <c r="D20" s="24" t="str">
        <f>actualizaciones!A2</f>
        <v xml:space="preserve">acumulado julio 2010 </v>
      </c>
      <c r="E20" s="25"/>
      <c r="F20" s="25"/>
    </row>
    <row r="21" spans="2:8" ht="20.100000000000001" customHeight="1">
      <c r="C21" s="15"/>
      <c r="D21" s="1"/>
      <c r="E21" s="1"/>
      <c r="F21" s="1"/>
    </row>
    <row r="22" spans="2:8" ht="18" customHeight="1">
      <c r="C22" s="1"/>
      <c r="D22" s="16" t="s">
        <v>10</v>
      </c>
      <c r="E22" s="6"/>
      <c r="F22" s="6"/>
    </row>
    <row r="23" spans="2:8" ht="18" customHeight="1">
      <c r="C23" s="1"/>
      <c r="D23" s="1"/>
      <c r="E23" s="17"/>
      <c r="F23" s="1"/>
    </row>
    <row r="24" spans="2:8" ht="18" customHeight="1">
      <c r="C24" s="1"/>
      <c r="D24" s="1"/>
      <c r="E24" s="18" t="s">
        <v>11</v>
      </c>
      <c r="F24" s="1"/>
    </row>
    <row r="25" spans="2:8" ht="18" customHeight="1">
      <c r="C25" s="1"/>
      <c r="D25" s="1"/>
      <c r="E25" s="18" t="s">
        <v>224</v>
      </c>
      <c r="F25" s="1"/>
    </row>
    <row r="26" spans="2:8" ht="18" customHeight="1">
      <c r="C26" s="1"/>
      <c r="D26" s="1"/>
      <c r="E26" s="18" t="s">
        <v>13</v>
      </c>
      <c r="F26" s="1"/>
    </row>
    <row r="27" spans="2:8" ht="18" customHeight="1">
      <c r="C27" s="1"/>
      <c r="D27" s="1"/>
      <c r="E27" s="17"/>
      <c r="F27" s="1"/>
    </row>
    <row r="28" spans="2:8" ht="20.100000000000001" customHeight="1">
      <c r="C28" s="1"/>
      <c r="D28" s="16" t="s">
        <v>17</v>
      </c>
      <c r="E28" s="6"/>
      <c r="F28" s="6"/>
    </row>
    <row r="29" spans="2:8" ht="18" customHeight="1">
      <c r="C29" s="1"/>
      <c r="D29" s="1"/>
      <c r="E29" s="17"/>
      <c r="F29" s="1"/>
    </row>
    <row r="30" spans="2:8" ht="18" customHeight="1">
      <c r="B30" s="12"/>
      <c r="C30" s="1"/>
      <c r="D30" s="1"/>
      <c r="E30" s="18" t="s">
        <v>226</v>
      </c>
      <c r="F30" s="1"/>
      <c r="G30" s="12"/>
      <c r="H30" s="12"/>
    </row>
    <row r="31" spans="2:8" ht="18" customHeight="1">
      <c r="C31" s="1"/>
      <c r="D31" s="1"/>
      <c r="E31" s="18" t="s">
        <v>227</v>
      </c>
      <c r="F31" s="1"/>
    </row>
    <row r="32" spans="2:8" ht="18" customHeight="1">
      <c r="C32" s="1"/>
      <c r="D32" s="1"/>
      <c r="E32" s="18" t="s">
        <v>253</v>
      </c>
      <c r="F32" s="1"/>
    </row>
    <row r="33" spans="3:6" ht="18" customHeight="1">
      <c r="C33" s="1"/>
      <c r="D33" s="1"/>
      <c r="E33" s="321"/>
      <c r="F33" s="1"/>
    </row>
    <row r="34" spans="3:6" ht="20.100000000000001" customHeight="1">
      <c r="C34" s="21"/>
    </row>
    <row r="35" spans="3:6" ht="20.100000000000001" customHeight="1"/>
    <row r="36" spans="3:6" ht="20.100000000000001" customHeight="1">
      <c r="C36" s="11" t="s">
        <v>254</v>
      </c>
      <c r="D36" s="11"/>
      <c r="E36" s="11"/>
      <c r="F36" s="11"/>
    </row>
    <row r="37" spans="3:6" ht="15" customHeight="1"/>
    <row r="38" spans="3:6" ht="15" customHeight="1">
      <c r="E38" s="22"/>
    </row>
    <row r="39" spans="3:6" ht="15" customHeight="1"/>
    <row r="40" spans="3:6" ht="15" customHeight="1"/>
    <row r="41" spans="3:6" ht="15" customHeight="1">
      <c r="C41" s="12"/>
      <c r="D41" s="12"/>
      <c r="E41" s="12"/>
      <c r="F41" s="12"/>
    </row>
    <row r="42" spans="3:6" ht="15" customHeight="1"/>
    <row r="43" spans="3:6" ht="15" customHeight="1"/>
    <row r="44" spans="3:6" ht="15" customHeight="1"/>
    <row r="45" spans="3:6" ht="15" customHeight="1"/>
    <row r="46" spans="3:6" ht="15" customHeight="1"/>
    <row r="47" spans="3:6" ht="15" customHeight="1"/>
    <row r="48" spans="3:6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</sheetData>
  <mergeCells count="2">
    <mergeCell ref="C8:F8"/>
    <mergeCell ref="C36:F36"/>
  </mergeCells>
  <hyperlinks>
    <hyperlink ref="E15" location="'Tablas evol IO zona'!A1" tooltip="Zonas y tipología de establecimiento" display="Evolución anual por zona turística y tipología de establecimiento"/>
    <hyperlink ref="E17" location="'tablas evol IO CAT '!A1" tooltip="Tipología y categoría de establecimiento" display="Evolución anual por tipología y categoría de los establecimientos"/>
    <hyperlink ref="E24" location="'IO Tipología'!A1" tooltip="Tipología de establecimiento" display="Tipología de establecimiento"/>
    <hyperlink ref="E25" location="'IO zona y Tipología '!A1" tooltip="Zonas y tipología de establecimiento" display="Zona turística y tipología de establecimiento"/>
    <hyperlink ref="E26" location="'IO tipología y categoría'!A1" tooltip="Tipología y categoría de establecimiento" display="Tipología y categoría de establecimiento"/>
    <hyperlink ref="E30" location="'gráfica IO zonas y tipologí '!A1" tooltip="Gráfica zona y tipología" display="Zona turística y tipología alojativa"/>
    <hyperlink ref="E31" location="'gráfica IO tipología'!A1" tooltip="Gráfica tipología y categoría alojativa" display="Tipología y categoría alojativa"/>
    <hyperlink ref="E32" location="'gráfica IO mensual'!A1" tooltip="Gráfica evolución mensual" display="Evolución mensual"/>
    <hyperlink ref="E14" location="'IO evolución mensual'!A1" tooltip="Evolución mensual IO" display="Evolución mensual"/>
    <hyperlink ref="E16" location="'evolución IO zona'!A1" tooltip="Variación interanual por zona turística y tipología de establecimiento" display="Variación interanual por zona turística y tipología de establecimiento"/>
    <hyperlink ref="E18" location="'evolución IO CAT '!A1" tooltip="Variación interanual por tipología y categoría de los establecimientos" display="Variación interanual por tipología y categoría de los establecimientos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C1:J70"/>
  <sheetViews>
    <sheetView showGridLines="0" showRowColHeaders="0" zoomScaleNormal="100" workbookViewId="0">
      <selection activeCell="B25" sqref="B25"/>
    </sheetView>
  </sheetViews>
  <sheetFormatPr baseColWidth="10" defaultRowHeight="15" outlineLevelRow="1"/>
  <cols>
    <col min="4" max="6" width="14.42578125" customWidth="1"/>
    <col min="9" max="9" width="13.28515625" customWidth="1"/>
  </cols>
  <sheetData>
    <row r="1" spans="3:10" ht="17.25" customHeight="1"/>
    <row r="2" spans="3:10" ht="40.5" customHeight="1"/>
    <row r="3" spans="3:10" ht="41.25" customHeight="1">
      <c r="C3" s="47" t="s">
        <v>33</v>
      </c>
      <c r="D3" s="47"/>
      <c r="E3" s="47"/>
      <c r="F3" s="47"/>
    </row>
    <row r="4" spans="3:10" ht="30" customHeight="1">
      <c r="C4" s="48"/>
      <c r="D4" s="49" t="s">
        <v>34</v>
      </c>
      <c r="E4" s="49" t="s">
        <v>35</v>
      </c>
      <c r="F4" s="49" t="s">
        <v>36</v>
      </c>
      <c r="H4" s="50"/>
      <c r="I4" s="50"/>
      <c r="J4" s="50"/>
    </row>
    <row r="5" spans="3:10" hidden="1">
      <c r="C5" s="51" t="s">
        <v>37</v>
      </c>
      <c r="D5" s="52" t="e">
        <f>GETPIVOTDATA("dato",'[1]Turistas alojados tipologia'!$A$4,"categoría","Hoteleros","mes",12,"año",2010)</f>
        <v>#REF!</v>
      </c>
      <c r="E5" s="52" t="e">
        <f>GETPIVOTDATA("dato",'[1]Turistas alojados tipologia'!$A$4,"categoría","EXTRAHOTELEROS","mes",12,"año",2010)</f>
        <v>#REF!</v>
      </c>
      <c r="F5" s="52" t="e">
        <f>GETPIVOTDATA("dato",'[1]Turistas alojados tipologia'!$A$4,"categoría","TOTAL","mes",12,"año",2010)</f>
        <v>#REF!</v>
      </c>
    </row>
    <row r="6" spans="3:10" hidden="1">
      <c r="C6" s="51" t="s">
        <v>38</v>
      </c>
      <c r="D6" s="52" t="e">
        <f>GETPIVOTDATA("dato",'[1]Turistas alojados tipologia'!$A$4,"categoría","Hoteleros","mes",11,"año",2010)</f>
        <v>#REF!</v>
      </c>
      <c r="E6" s="52" t="e">
        <f>GETPIVOTDATA("dato",'[1]Turistas alojados tipologia'!$A$4,"categoría","EXTRAHOTELEROS","mes",11,"año",2010)</f>
        <v>#REF!</v>
      </c>
      <c r="F6" s="52" t="e">
        <f>GETPIVOTDATA("dato",'[1]Turistas alojados tipologia'!$A$4,"categoría","TOTAL","mes",11,"año",2010)</f>
        <v>#REF!</v>
      </c>
    </row>
    <row r="7" spans="3:10" hidden="1">
      <c r="C7" s="51" t="s">
        <v>39</v>
      </c>
      <c r="D7" s="52" t="e">
        <f>GETPIVOTDATA("dato",'[1]Turistas alojados tipologia'!$A$4,"categoría","Hoteleros","mes",10,"año",2010)</f>
        <v>#REF!</v>
      </c>
      <c r="E7" s="52" t="e">
        <f>GETPIVOTDATA("dato",'[1]Turistas alojados tipologia'!$A$4,"categoría","EXTRAHOTELEROS","mes",10,"año",2010)</f>
        <v>#REF!</v>
      </c>
      <c r="F7" s="52" t="e">
        <f>GETPIVOTDATA("dato",'[1]Turistas alojados tipologia'!$A$4,"categoría","TOTAL","mes",10,"año",2010)</f>
        <v>#REF!</v>
      </c>
    </row>
    <row r="8" spans="3:10" hidden="1">
      <c r="C8" s="51" t="s">
        <v>40</v>
      </c>
      <c r="D8" s="52" t="e">
        <f>GETPIVOTDATA("dato",'[1]Turistas alojados tipologia'!$A$4,"categoría","Hoteleros","mes",9,"año",2010)</f>
        <v>#REF!</v>
      </c>
      <c r="E8" s="52" t="e">
        <f>GETPIVOTDATA("dato",'[1]Turistas alojados tipologia'!$A$4,"categoría","EXTRAHOTELEROS","mes",9,"año",2010)</f>
        <v>#REF!</v>
      </c>
      <c r="F8" s="52" t="e">
        <f>GETPIVOTDATA("dato",'[1]Turistas alojados tipologia'!$A$4,"categoría","TOTAL","mes",9,"año",2010)</f>
        <v>#REF!</v>
      </c>
    </row>
    <row r="9" spans="3:10" hidden="1">
      <c r="C9" s="51" t="s">
        <v>41</v>
      </c>
      <c r="D9" s="52" t="e">
        <f>GETPIVOTDATA("dato",'[1]Turistas alojados tipologia'!$A$4,"categoría","Hoteleros","mes",8,"año",2010)</f>
        <v>#REF!</v>
      </c>
      <c r="E9" s="52" t="e">
        <f>GETPIVOTDATA("dato",'[1]Turistas alojados tipologia'!$A$4,"categoría","EXTRAHOTELEROS","mes",8,"año",2010)</f>
        <v>#REF!</v>
      </c>
      <c r="F9" s="52" t="e">
        <f>GETPIVOTDATA("dato",'[1]Turistas alojados tipologia'!$A$4,"categoría","TOTAL","mes",8,"año",2010)</f>
        <v>#REF!</v>
      </c>
    </row>
    <row r="10" spans="3:10">
      <c r="C10" s="51" t="s">
        <v>42</v>
      </c>
      <c r="D10" s="52">
        <f>GETPIVOTDATA("dato",'[1]Turistas alojados tipologia'!$A$4,"categoría","Hoteleros","mes",7,"año",2010)</f>
        <v>104585</v>
      </c>
      <c r="E10" s="52">
        <f>GETPIVOTDATA("dato",'[1]Turistas alojados tipologia'!$A$4,"categoría","EXTRAHOTELEROS","mes",7,"año",2010)</f>
        <v>58786</v>
      </c>
      <c r="F10" s="52">
        <f>GETPIVOTDATA("dato",'[1]Turistas alojados tipologia'!$A$4,"categoría","TOTAL","mes",7,"año",2010)</f>
        <v>163371</v>
      </c>
    </row>
    <row r="11" spans="3:10">
      <c r="C11" s="51" t="s">
        <v>43</v>
      </c>
      <c r="D11" s="52">
        <f>GETPIVOTDATA("dato",'[1]Turistas alojados tipologia'!$A$4,"categoría","Hoteleros","mes",6,"año",2010)</f>
        <v>86210</v>
      </c>
      <c r="E11" s="52">
        <f>GETPIVOTDATA("dato",'[1]Turistas alojados tipologia'!$A$4,"categoría","EXTRAHOTELEROS","mes",6,"año",2010)</f>
        <v>42687</v>
      </c>
      <c r="F11" s="52">
        <f>GETPIVOTDATA("dato",'[1]Turistas alojados tipologia'!$A$4,"categoría","TOTAL","mes",6,"año",2010)</f>
        <v>128897</v>
      </c>
      <c r="H11" s="53"/>
      <c r="I11" s="53"/>
      <c r="J11" s="53"/>
    </row>
    <row r="12" spans="3:10">
      <c r="C12" s="51" t="s">
        <v>44</v>
      </c>
      <c r="D12" s="52">
        <f>GETPIVOTDATA("dato",'[1]Turistas alojados tipologia'!$A$4,"categoría","Hoteleros","mes",5,"año",2010)</f>
        <v>92640</v>
      </c>
      <c r="E12" s="52">
        <f>GETPIVOTDATA("dato",'[1]Turistas alojados tipologia'!$A$4,"categoría","EXTRAHOTELEROS","mes",5,"año",2010)</f>
        <v>39879</v>
      </c>
      <c r="F12" s="52">
        <f>GETPIVOTDATA("dato",'[1]Turistas alojados tipologia'!$A$4,"categoría","TOTAL","mes",5,"año",2010)</f>
        <v>132519</v>
      </c>
    </row>
    <row r="13" spans="3:10">
      <c r="C13" s="51" t="s">
        <v>45</v>
      </c>
      <c r="D13" s="52">
        <f>GETPIVOTDATA("dato",'[1]Turistas alojados tipologia'!$A$4,"categoría","Hoteleros","mes",4,"año",2010)</f>
        <v>102877</v>
      </c>
      <c r="E13" s="52">
        <f>GETPIVOTDATA("dato",'[1]Turistas alojados tipologia'!$A$4,"categoría","EXTRAHOTELEROS","mes",4,"año",2010)</f>
        <v>53734</v>
      </c>
      <c r="F13" s="52">
        <f>GETPIVOTDATA("dato",'[1]Turistas alojados tipologia'!$A$4,"categoría","TOTAL","mes",4,"año",2010)</f>
        <v>156611</v>
      </c>
    </row>
    <row r="14" spans="3:10">
      <c r="C14" s="51" t="s">
        <v>46</v>
      </c>
      <c r="D14" s="52">
        <f>GETPIVOTDATA("dato",'[1]Turistas alojados tipologia'!$A$4,"categoría","Hoteleros","mes",3,"año",2010)</f>
        <v>90580</v>
      </c>
      <c r="E14" s="52">
        <f>GETPIVOTDATA("dato",'[1]Turistas alojados tipologia'!$A$4,"categoría","EXTRAHOTELEROS","mes",3,"año",2010)</f>
        <v>49749</v>
      </c>
      <c r="F14" s="52">
        <f>GETPIVOTDATA("dato",'[1]Turistas alojados tipologia'!$A$4,"categoría","TOTAL","mes",3,"año",2010)</f>
        <v>140329</v>
      </c>
    </row>
    <row r="15" spans="3:10">
      <c r="C15" s="51" t="s">
        <v>47</v>
      </c>
      <c r="D15" s="52">
        <f>GETPIVOTDATA("dato",'[1]Turistas alojados tipologia'!$A$4,"categoría","Hoteleros","mes",2,"año",2010)</f>
        <v>82016</v>
      </c>
      <c r="E15" s="52">
        <f>GETPIVOTDATA("dato",'[1]Turistas alojados tipologia'!$A$4,"categoría","EXTRAHOTELEROS","mes",2,"año",2010)</f>
        <v>43403</v>
      </c>
      <c r="F15" s="52">
        <f>GETPIVOTDATA("dato",'[1]Turistas alojados tipologia'!$A$4,"categoría","TOTAL","mes",2,"año",2010)</f>
        <v>125419</v>
      </c>
    </row>
    <row r="16" spans="3:10">
      <c r="C16" s="51" t="s">
        <v>48</v>
      </c>
      <c r="D16" s="52">
        <f>GETPIVOTDATA("dato",'[1]Turistas alojados tipologia'!$A$4,"categoría","Hoteleros","mes",1,"año",2010)</f>
        <v>85215</v>
      </c>
      <c r="E16" s="52">
        <f>GETPIVOTDATA("dato",'[1]Turistas alojados tipologia'!$A$4,"categoría","EXTRAHOTELEROS","mes",1,"año",2010)</f>
        <v>46322</v>
      </c>
      <c r="F16" s="52">
        <f>GETPIVOTDATA("dato",'[1]Turistas alojados tipologia'!$A$4,"categoría","TOTAL","mes",1,"año",2010)</f>
        <v>131537</v>
      </c>
    </row>
    <row r="17" spans="3:10" ht="30.75" customHeight="1">
      <c r="C17" s="54" t="str">
        <f>actualizaciones!A2</f>
        <v xml:space="preserve">acumulado julio 2010 </v>
      </c>
      <c r="D17" s="55">
        <f>GETPIVOTDATA("dato",'[1]Turistas alojados tipologia'!$A$4,"categoría","Hoteleros","año",2010)</f>
        <v>644123</v>
      </c>
      <c r="E17" s="55">
        <f>GETPIVOTDATA("dato",'[1]Turistas alojados tipologia'!$A$4,"categoría","EXTRAHOTELEROS","año",2010)</f>
        <v>334560</v>
      </c>
      <c r="F17" s="55">
        <f>GETPIVOTDATA("dato",'[1]Turistas alojados tipologia'!$A$4,"categoría","TOTAL","año",2010)</f>
        <v>978683</v>
      </c>
    </row>
    <row r="18" spans="3:10" hidden="1" outlineLevel="1">
      <c r="C18" s="51" t="s">
        <v>37</v>
      </c>
      <c r="D18" s="52">
        <f>GETPIVOTDATA("dato",'[1]Turistas alojados tipologia'!$A$4,"categoría","Hoteleros","mes",12,"año",2009)</f>
        <v>85070</v>
      </c>
      <c r="E18" s="52">
        <f>GETPIVOTDATA("dato",'[1]Turistas alojados tipologia'!$A$4,"categoría","EXTRAHOTELEROS","mes",12,"año",2009)</f>
        <v>47003</v>
      </c>
      <c r="F18" s="52">
        <f>GETPIVOTDATA("dato",'[1]Turistas alojados tipologia'!$A$4,"categoría","TOTAL","mes",12,"año",2009)</f>
        <v>132073</v>
      </c>
      <c r="H18" s="53"/>
      <c r="I18" s="53"/>
      <c r="J18" s="53"/>
    </row>
    <row r="19" spans="3:10" hidden="1" outlineLevel="1">
      <c r="C19" s="51" t="s">
        <v>38</v>
      </c>
      <c r="D19" s="52">
        <f>GETPIVOTDATA("dato",'[1]Turistas alojados tipologia'!$A$4,"categoría","Hoteleros","mes",11,"año",2009)</f>
        <v>85501</v>
      </c>
      <c r="E19" s="52">
        <f>GETPIVOTDATA("dato",'[1]Turistas alojados tipologia'!$A$4,"categoría","EXTRAHOTELEROS","mes",11,"año",2009)</f>
        <v>45406</v>
      </c>
      <c r="F19" s="52">
        <f>GETPIVOTDATA("dato",'[1]Turistas alojados tipologia'!$A$4,"categoría","TOTAL","mes",11,"año",2009)</f>
        <v>130907</v>
      </c>
    </row>
    <row r="20" spans="3:10" hidden="1" outlineLevel="1">
      <c r="C20" s="51" t="s">
        <v>39</v>
      </c>
      <c r="D20" s="52">
        <f>GETPIVOTDATA("dato",'[1]Turistas alojados tipologia'!$A$4,"categoría","Hoteleros","mes",10,"año",2009)</f>
        <v>94014</v>
      </c>
      <c r="E20" s="52">
        <f>GETPIVOTDATA("dato",'[1]Turistas alojados tipologia'!$A$4,"categoría","EXTRAHOTELEROS","mes",10,"año",2009)</f>
        <v>51344</v>
      </c>
      <c r="F20" s="52">
        <f>GETPIVOTDATA("dato",'[1]Turistas alojados tipologia'!$A$4,"categoría","TOTAL","mes",10,"año",2009)</f>
        <v>145358</v>
      </c>
    </row>
    <row r="21" spans="3:10" hidden="1" outlineLevel="1">
      <c r="C21" s="51" t="s">
        <v>40</v>
      </c>
      <c r="D21" s="52">
        <f>GETPIVOTDATA("dato",'[1]Turistas alojados tipologia'!$A$4,"categoría","Hoteleros","mes",9,"año",2009)</f>
        <v>79462</v>
      </c>
      <c r="E21" s="52">
        <f>GETPIVOTDATA("dato",'[1]Turistas alojados tipologia'!$A$4,"categoría","EXTRAHOTELEROS","mes",9,"año",2009)</f>
        <v>45133</v>
      </c>
      <c r="F21" s="52">
        <f>GETPIVOTDATA("dato",'[1]Turistas alojados tipologia'!$A$4,"categoría","TOTAL","mes",9,"año",2009)</f>
        <v>124595</v>
      </c>
    </row>
    <row r="22" spans="3:10" hidden="1" outlineLevel="1">
      <c r="C22" s="51" t="s">
        <v>41</v>
      </c>
      <c r="D22" s="52">
        <f>GETPIVOTDATA("dato",'[1]Turistas alojados tipologia'!$A$4,"categoría","Hoteleros","mes",8,"año",2009)</f>
        <v>102995</v>
      </c>
      <c r="E22" s="52">
        <f>GETPIVOTDATA("dato",'[1]Turistas alojados tipologia'!$A$4,"categoría","EXTRAHOTELEROS","mes",8,"año",2009)</f>
        <v>67265</v>
      </c>
      <c r="F22" s="52">
        <f>GETPIVOTDATA("dato",'[1]Turistas alojados tipologia'!$A$4,"categoría","TOTAL","mes",8,"año",2009)</f>
        <v>170260</v>
      </c>
    </row>
    <row r="23" spans="3:10" hidden="1" outlineLevel="1">
      <c r="C23" s="51" t="s">
        <v>42</v>
      </c>
      <c r="D23" s="52">
        <f>GETPIVOTDATA("dato",'[1]Turistas alojados tipologia'!$A$4,"categoría","Hoteleros","mes",7,"año",2009)</f>
        <v>97923</v>
      </c>
      <c r="E23" s="52">
        <f>GETPIVOTDATA("dato",'[1]Turistas alojados tipologia'!$A$4,"categoría","EXTRAHOTELEROS","mes",7,"año",2009)</f>
        <v>54409</v>
      </c>
      <c r="F23" s="52">
        <f>GETPIVOTDATA("dato",'[1]Turistas alojados tipologia'!$A$4,"categoría","TOTAL","mes",7,"año",2009)</f>
        <v>152332</v>
      </c>
    </row>
    <row r="24" spans="3:10" hidden="1" outlineLevel="1">
      <c r="C24" s="51" t="s">
        <v>43</v>
      </c>
      <c r="D24" s="52">
        <f>GETPIVOTDATA("dato",'[1]Turistas alojados tipologia'!$A$4,"categoría","Hoteleros","mes",6,"año",2009)</f>
        <v>79842</v>
      </c>
      <c r="E24" s="52">
        <f>GETPIVOTDATA("dato",'[1]Turistas alojados tipologia'!$A$4,"categoría","EXTRAHOTELEROS","mes",6,"año",2009)</f>
        <v>41545</v>
      </c>
      <c r="F24" s="52">
        <f>GETPIVOTDATA("dato",'[1]Turistas alojados tipologia'!$A$4,"categoría","TOTAL","mes",6,"año",2009)</f>
        <v>121387</v>
      </c>
    </row>
    <row r="25" spans="3:10" hidden="1" outlineLevel="1">
      <c r="C25" s="51" t="s">
        <v>44</v>
      </c>
      <c r="D25" s="52">
        <f>GETPIVOTDATA("dato",'[1]Turistas alojados tipologia'!$A$4,"categoría","Hoteleros","mes",5,"año",2009)</f>
        <v>84335</v>
      </c>
      <c r="E25" s="52">
        <f>GETPIVOTDATA("dato",'[1]Turistas alojados tipologia'!$A$4,"categoría","EXTRAHOTELEROS","mes",5,"año",2009)</f>
        <v>39550</v>
      </c>
      <c r="F25" s="52">
        <f>GETPIVOTDATA("dato",'[1]Turistas alojados tipologia'!$A$4,"categoría","TOTAL","mes",5,"año",2009)</f>
        <v>123885</v>
      </c>
    </row>
    <row r="26" spans="3:10" hidden="1" outlineLevel="1">
      <c r="C26" s="51" t="s">
        <v>45</v>
      </c>
      <c r="D26" s="52">
        <f>GETPIVOTDATA("dato",'[1]Turistas alojados tipologia'!$A$4,"categoría","Hoteleros","mes",4,"año",2009)</f>
        <v>91144</v>
      </c>
      <c r="E26" s="52">
        <f>GETPIVOTDATA("dato",'[1]Turistas alojados tipologia'!$A$4,"categoría","EXTRAHOTELEROS","mes",4,"año",2009)</f>
        <v>51883</v>
      </c>
      <c r="F26" s="52">
        <f>GETPIVOTDATA("dato",'[1]Turistas alojados tipologia'!$A$4,"categoría","TOTAL","mes",4,"año",2009)</f>
        <v>143027</v>
      </c>
    </row>
    <row r="27" spans="3:10" hidden="1" outlineLevel="1">
      <c r="C27" s="51" t="s">
        <v>46</v>
      </c>
      <c r="D27" s="52">
        <f>GETPIVOTDATA("dato",'[1]Turistas alojados tipologia'!$A$4,"categoría","Hoteleros","mes",3,"año",2009)</f>
        <v>85131</v>
      </c>
      <c r="E27" s="52">
        <f>GETPIVOTDATA("dato",'[1]Turistas alojados tipologia'!$A$4,"categoría","EXTRAHOTELEROS","mes",3,"año",2009)</f>
        <v>49940</v>
      </c>
      <c r="F27" s="52">
        <f>GETPIVOTDATA("dato",'[1]Turistas alojados tipologia'!$A$4,"categoría","TOTAL","mes",3,"año",2009)</f>
        <v>135071</v>
      </c>
    </row>
    <row r="28" spans="3:10" hidden="1" outlineLevel="1">
      <c r="C28" s="51" t="s">
        <v>47</v>
      </c>
      <c r="D28" s="52">
        <f>GETPIVOTDATA("dato",'[1]Turistas alojados tipologia'!$A$4,"categoría","Hoteleros","mes",2,"año",2009)</f>
        <v>83781</v>
      </c>
      <c r="E28" s="52">
        <f>GETPIVOTDATA("dato",'[1]Turistas alojados tipologia'!$A$4,"categoría","EXTRAHOTELEROS","mes",2,"año",2009)</f>
        <v>50011</v>
      </c>
      <c r="F28" s="52">
        <f>GETPIVOTDATA("dato",'[1]Turistas alojados tipologia'!$A$4,"categoría","TOTAL","mes",2,"año",2009)</f>
        <v>133792</v>
      </c>
    </row>
    <row r="29" spans="3:10" hidden="1" outlineLevel="1">
      <c r="C29" s="51" t="s">
        <v>48</v>
      </c>
      <c r="D29" s="52">
        <f>GETPIVOTDATA("dato",'[1]Turistas alojados tipologia'!$A$4,"categoría","Hoteleros","mes",1,"año",2009)</f>
        <v>83242</v>
      </c>
      <c r="E29" s="52">
        <f>GETPIVOTDATA("dato",'[1]Turistas alojados tipologia'!$A$4,"categoría","EXTRAHOTELEROS","mes",1,"año",2009)</f>
        <v>53102</v>
      </c>
      <c r="F29" s="52">
        <f>GETPIVOTDATA("dato",'[1]Turistas alojados tipologia'!$A$4,"categoría","TOTAL","mes",1,"año",2009)</f>
        <v>136344</v>
      </c>
    </row>
    <row r="30" spans="3:10" collapsed="1">
      <c r="C30" s="56">
        <v>2009</v>
      </c>
      <c r="D30" s="57">
        <f>GETPIVOTDATA("dato",'[1]Turistas alojados tipologia'!$A$4,"categoría","Hoteleros","año",2009)</f>
        <v>1052440</v>
      </c>
      <c r="E30" s="57">
        <f>GETPIVOTDATA("dato",'[1]Turistas alojados tipologia'!$A$4,"categoría","EXTRAHOTELEROS","año",2009)</f>
        <v>596591</v>
      </c>
      <c r="F30" s="57">
        <f>GETPIVOTDATA("dato",'[1]Turistas alojados tipologia'!$A$4,"categoría","TOTAL","año",2009)</f>
        <v>1649031</v>
      </c>
    </row>
    <row r="31" spans="3:10" hidden="1" outlineLevel="1">
      <c r="C31" s="51" t="s">
        <v>37</v>
      </c>
      <c r="D31" s="52">
        <f>GETPIVOTDATA("dato",'[1]Turistas alojados tipologia'!$A$4,"categoría","Hoteleros","mes",12,"año",2008)</f>
        <v>87217</v>
      </c>
      <c r="E31" s="52">
        <f>GETPIVOTDATA("dato",'[1]Turistas alojados tipologia'!$A$4,"categoría","EXTRAHOTELEROS","mes",12,"año",2008)</f>
        <v>54615</v>
      </c>
      <c r="F31" s="52">
        <f>GETPIVOTDATA("dato",'[1]Turistas alojados tipologia'!$A$4,"categoría","TOTAL","mes",12,"año",2008)</f>
        <v>141832</v>
      </c>
    </row>
    <row r="32" spans="3:10" hidden="1" outlineLevel="1">
      <c r="C32" s="51" t="s">
        <v>38</v>
      </c>
      <c r="D32" s="52">
        <f>GETPIVOTDATA("dato",'[1]Turistas alojados tipologia'!$A$4,"categoría","Hoteleros","mes",11,"año",2008)</f>
        <v>93479</v>
      </c>
      <c r="E32" s="52">
        <f>GETPIVOTDATA("dato",'[1]Turistas alojados tipologia'!$A$4,"categoría","EXTRAHOTELEROS","mes",11,"año",2008)</f>
        <v>55613</v>
      </c>
      <c r="F32" s="52">
        <f>GETPIVOTDATA("dato",'[1]Turistas alojados tipologia'!$A$4,"categoría","TOTAL","mes",11,"año",2008)</f>
        <v>149092</v>
      </c>
    </row>
    <row r="33" spans="3:6" hidden="1" outlineLevel="1">
      <c r="C33" s="51" t="s">
        <v>39</v>
      </c>
      <c r="D33" s="52">
        <f>GETPIVOTDATA("dato",'[1]Turistas alojados tipologia'!$A$4,"categoría","Hoteleros","mes",10,"año",2008)</f>
        <v>101498</v>
      </c>
      <c r="E33" s="52">
        <f>GETPIVOTDATA("dato",'[1]Turistas alojados tipologia'!$A$4,"categoría","EXTRAHOTELEROS","mes",10,"año",2008)</f>
        <v>58945</v>
      </c>
      <c r="F33" s="52">
        <f>GETPIVOTDATA("dato",'[1]Turistas alojados tipologia'!$A$4,"categoría","TOTAL","mes",10,"año",2008)</f>
        <v>160443</v>
      </c>
    </row>
    <row r="34" spans="3:6" hidden="1" outlineLevel="1">
      <c r="C34" s="51" t="s">
        <v>40</v>
      </c>
      <c r="D34" s="52">
        <f>GETPIVOTDATA("dato",'[1]Turistas alojados tipologia'!$A$4,"categoría","Hoteleros","mes",9,"año",2008)</f>
        <v>88192</v>
      </c>
      <c r="E34" s="52">
        <f>GETPIVOTDATA("dato",'[1]Turistas alojados tipologia'!$A$4,"categoría","EXTRAHOTELEROS","mes",9,"año",2008)</f>
        <v>49248</v>
      </c>
      <c r="F34" s="52">
        <f>GETPIVOTDATA("dato",'[1]Turistas alojados tipologia'!$A$4,"categoría","TOTAL","mes",9,"año",2008)</f>
        <v>137440</v>
      </c>
    </row>
    <row r="35" spans="3:6" ht="13.5" hidden="1" customHeight="1" outlineLevel="1">
      <c r="C35" s="51" t="s">
        <v>41</v>
      </c>
      <c r="D35" s="52">
        <f>GETPIVOTDATA("dato",'[1]Turistas alojados tipologia'!$A$4,"categoría","Hoteleros","mes",8,"año",2008)</f>
        <v>115139</v>
      </c>
      <c r="E35" s="52">
        <f>GETPIVOTDATA("dato",'[1]Turistas alojados tipologia'!$A$4,"categoría","EXTRAHOTELEROS","mes",8,"año",2008)</f>
        <v>72859</v>
      </c>
      <c r="F35" s="52">
        <f>GETPIVOTDATA("dato",'[1]Turistas alojados tipologia'!$A$4,"categoría","TOTAL","mes",8,"año",2008)</f>
        <v>187998</v>
      </c>
    </row>
    <row r="36" spans="3:6" ht="13.5" hidden="1" customHeight="1" outlineLevel="1">
      <c r="C36" s="51" t="s">
        <v>42</v>
      </c>
      <c r="D36" s="52">
        <f>GETPIVOTDATA("dato",'[1]Turistas alojados tipologia'!$A$4,"categoría","Hoteleros","mes",7,"año",2008)</f>
        <v>102716</v>
      </c>
      <c r="E36" s="52">
        <f>GETPIVOTDATA("dato",'[1]Turistas alojados tipologia'!$A$4,"categoría","EXTRAHOTELEROS","mes",7,"año",2008)</f>
        <v>58557</v>
      </c>
      <c r="F36" s="52">
        <f>GETPIVOTDATA("dato",'[1]Turistas alojados tipologia'!$A$4,"categoría","TOTAL","mes",7,"año",2008)</f>
        <v>161273</v>
      </c>
    </row>
    <row r="37" spans="3:6" hidden="1" outlineLevel="1">
      <c r="C37" s="51" t="s">
        <v>43</v>
      </c>
      <c r="D37" s="52">
        <f>GETPIVOTDATA("dato",'[1]Turistas alojados tipologia'!$A$4,"categoría","Hoteleros","mes",6,"año",2008)</f>
        <v>98741</v>
      </c>
      <c r="E37" s="52">
        <f>GETPIVOTDATA("dato",'[1]Turistas alojados tipologia'!$A$4,"categoría","EXTRAHOTELEROS","mes",6,"año",2008)</f>
        <v>47622</v>
      </c>
      <c r="F37" s="52">
        <f>GETPIVOTDATA("dato",'[1]Turistas alojados tipologia'!$A$4,"categoría","TOTAL","mes",6,"año",2008)</f>
        <v>146363</v>
      </c>
    </row>
    <row r="38" spans="3:6" hidden="1" outlineLevel="1">
      <c r="C38" s="51" t="s">
        <v>44</v>
      </c>
      <c r="D38" s="52">
        <f>GETPIVOTDATA("dato",'[1]Turistas alojados tipologia'!$A$4,"categoría","Hoteleros","mes",5,"año",2008)</f>
        <v>103754</v>
      </c>
      <c r="E38" s="52">
        <f>GETPIVOTDATA("dato",'[1]Turistas alojados tipologia'!$A$4,"categoría","EXTRAHOTELEROS","mes",5,"año",2008)</f>
        <v>49751</v>
      </c>
      <c r="F38" s="52">
        <f>GETPIVOTDATA("dato",'[1]Turistas alojados tipologia'!$A$4,"categoría","TOTAL","mes",5,"año",2008)</f>
        <v>153505</v>
      </c>
    </row>
    <row r="39" spans="3:6" hidden="1" outlineLevel="1">
      <c r="C39" s="51" t="s">
        <v>45</v>
      </c>
      <c r="D39" s="52">
        <f>GETPIVOTDATA("dato",'[1]Turistas alojados tipologia'!$A$4,"categoría","Hoteleros","mes",4,"año",2008)</f>
        <v>102558</v>
      </c>
      <c r="E39" s="52">
        <f>GETPIVOTDATA("dato",'[1]Turistas alojados tipologia'!$A$4,"categoría","EXTRAHOTELEROS","mes",4,"año",2008)</f>
        <v>51464</v>
      </c>
      <c r="F39" s="52">
        <f>GETPIVOTDATA("dato",'[1]Turistas alojados tipologia'!$A$4,"categoría","TOTAL","mes",4,"año",2008)</f>
        <v>154022</v>
      </c>
    </row>
    <row r="40" spans="3:6" hidden="1" outlineLevel="1">
      <c r="C40" s="51" t="s">
        <v>46</v>
      </c>
      <c r="D40" s="52">
        <f>GETPIVOTDATA("dato",'[1]Turistas alojados tipologia'!$A$4,"categoría","Hoteleros","mes",3,"año",2008)</f>
        <v>117674</v>
      </c>
      <c r="E40" s="52">
        <f>GETPIVOTDATA("dato",'[1]Turistas alojados tipologia'!$A$4,"categoría","EXTRAHOTELEROS","mes",3,"año",2008)</f>
        <v>65773</v>
      </c>
      <c r="F40" s="52">
        <f>GETPIVOTDATA("dato",'[1]Turistas alojados tipologia'!$A$4,"categoría","TOTAL","mes",3,"año",2008)</f>
        <v>183447</v>
      </c>
    </row>
    <row r="41" spans="3:6" hidden="1" outlineLevel="1">
      <c r="C41" s="51" t="s">
        <v>47</v>
      </c>
      <c r="D41" s="52">
        <f>GETPIVOTDATA("dato",'[1]Turistas alojados tipologia'!$A$4,"categoría","Hoteleros","mes",2,"año",2008)</f>
        <v>104521</v>
      </c>
      <c r="E41" s="52">
        <f>GETPIVOTDATA("dato",'[1]Turistas alojados tipologia'!$A$4,"categoría","EXTRAHOTELEROS","mes",2,"año",2008)</f>
        <v>63733</v>
      </c>
      <c r="F41" s="52">
        <f>GETPIVOTDATA("dato",'[1]Turistas alojados tipologia'!$A$4,"categoría","TOTAL","mes",2,"año",2008)</f>
        <v>168254</v>
      </c>
    </row>
    <row r="42" spans="3:6" hidden="1" outlineLevel="1">
      <c r="C42" s="51" t="s">
        <v>48</v>
      </c>
      <c r="D42" s="52">
        <f>GETPIVOTDATA("dato",'[1]Turistas alojados tipologia'!$A$4,"categoría","Hoteleros","mes",1,"año",2008)</f>
        <v>92646</v>
      </c>
      <c r="E42" s="52">
        <f>GETPIVOTDATA("dato",'[1]Turistas alojados tipologia'!$A$4,"categoría","EXTRAHOTELEROS","mes",1,"año",2008)</f>
        <v>54485</v>
      </c>
      <c r="F42" s="52">
        <f>GETPIVOTDATA("dato",'[1]Turistas alojados tipologia'!$A$4,"categoría","TOTAL","mes",1,"año",2008)</f>
        <v>147131</v>
      </c>
    </row>
    <row r="43" spans="3:6" collapsed="1">
      <c r="C43" s="58">
        <v>2008</v>
      </c>
      <c r="D43" s="59">
        <f>GETPIVOTDATA("dato",'[1]Turistas alojados tipologia'!$A$4,"categoría","Hoteleros","año",2008)</f>
        <v>1208135</v>
      </c>
      <c r="E43" s="59">
        <f>GETPIVOTDATA("dato",'[1]Turistas alojados tipologia'!$A$4,"categoría","EXTRAHOTELEROS","año",2008)</f>
        <v>682665</v>
      </c>
      <c r="F43" s="59">
        <f>GETPIVOTDATA("dato",'[1]Turistas alojados tipologia'!$A$4,"categoría","TOTAL","año",2008)</f>
        <v>1890800</v>
      </c>
    </row>
    <row r="44" spans="3:6" hidden="1" outlineLevel="1">
      <c r="C44" s="51" t="s">
        <v>37</v>
      </c>
      <c r="D44" s="52">
        <f>GETPIVOTDATA("dato",'[1]Turistas alojados tipologia'!$A$4,"categoría","Hoteleros","mes",12,"año",2007)</f>
        <v>94524</v>
      </c>
      <c r="E44" s="52">
        <f>GETPIVOTDATA("dato",'[1]Turistas alojados tipologia'!$A$4,"categoría","EXTRAHOTELEROS","mes",12,"año",2007)</f>
        <v>55070</v>
      </c>
      <c r="F44" s="52">
        <f>GETPIVOTDATA("dato",'[1]Turistas alojados tipologia'!$A$4,"categoría","TOTAL","mes",12,"año",2007)</f>
        <v>149594</v>
      </c>
    </row>
    <row r="45" spans="3:6" hidden="1" outlineLevel="1">
      <c r="C45" s="51" t="s">
        <v>38</v>
      </c>
      <c r="D45" s="52">
        <f>GETPIVOTDATA("dato",'[1]Turistas alojados tipologia'!$A$4,"categoría","Hoteleros","mes",11,"año",2007)</f>
        <v>102963</v>
      </c>
      <c r="E45" s="52">
        <f>GETPIVOTDATA("dato",'[1]Turistas alojados tipologia'!$A$4,"categoría","EXTRAHOTELEROS","mes",11,"año",2007)</f>
        <v>62813</v>
      </c>
      <c r="F45" s="52">
        <f>GETPIVOTDATA("dato",'[1]Turistas alojados tipologia'!$A$4,"categoría","TOTAL","mes",11,"año",2007)</f>
        <v>165776</v>
      </c>
    </row>
    <row r="46" spans="3:6" hidden="1" outlineLevel="1">
      <c r="C46" s="51" t="s">
        <v>39</v>
      </c>
      <c r="D46" s="52">
        <f>GETPIVOTDATA("dato",'[1]Turistas alojados tipologia'!$A$4,"categoría","Hoteleros","mes",10,"año",2007)</f>
        <v>110949</v>
      </c>
      <c r="E46" s="52">
        <f>GETPIVOTDATA("dato",'[1]Turistas alojados tipologia'!$A$4,"categoría","EXTRAHOTELEROS","mes",10,"año",2007)</f>
        <v>59898</v>
      </c>
      <c r="F46" s="52">
        <f>GETPIVOTDATA("dato",'[1]Turistas alojados tipologia'!$A$4,"categoría","TOTAL","mes",10,"año",2007)</f>
        <v>170847</v>
      </c>
    </row>
    <row r="47" spans="3:6" hidden="1" outlineLevel="1">
      <c r="C47" s="51" t="s">
        <v>40</v>
      </c>
      <c r="D47" s="52">
        <f>GETPIVOTDATA("dato",'[1]Turistas alojados tipologia'!$A$4,"categoría","Hoteleros","mes",9,"año",2007)</f>
        <v>94691</v>
      </c>
      <c r="E47" s="52">
        <f>GETPIVOTDATA("dato",'[1]Turistas alojados tipologia'!$A$4,"categoría","EXTRAHOTELEROS","mes",9,"año",2007)</f>
        <v>47682</v>
      </c>
      <c r="F47" s="52">
        <f>GETPIVOTDATA("dato",'[1]Turistas alojados tipologia'!$A$4,"categoría","TOTAL","mes",9,"año",2007)</f>
        <v>142373</v>
      </c>
    </row>
    <row r="48" spans="3:6" hidden="1" outlineLevel="1">
      <c r="C48" s="51" t="s">
        <v>41</v>
      </c>
      <c r="D48" s="52">
        <f>GETPIVOTDATA("dato",'[1]Turistas alojados tipologia'!$A$4,"categoría","Hoteleros","mes",8,"año",2007)</f>
        <v>113714</v>
      </c>
      <c r="E48" s="52">
        <f>GETPIVOTDATA("dato",'[1]Turistas alojados tipologia'!$A$4,"categoría","EXTRAHOTELEROS","mes",8,"año",2007)</f>
        <v>71928</v>
      </c>
      <c r="F48" s="52">
        <f>GETPIVOTDATA("dato",'[1]Turistas alojados tipologia'!$A$4,"categoría","TOTAL","mes",8,"año",2007)</f>
        <v>185642</v>
      </c>
    </row>
    <row r="49" spans="3:8" hidden="1" outlineLevel="1">
      <c r="C49" s="51" t="s">
        <v>42</v>
      </c>
      <c r="D49" s="52">
        <f>GETPIVOTDATA("dato",'[1]Turistas alojados tipologia'!$A$4,"categoría","Hoteleros","mes",7,"año",2007)</f>
        <v>105230</v>
      </c>
      <c r="E49" s="52">
        <f>GETPIVOTDATA("dato",'[1]Turistas alojados tipologia'!$A$4,"categoría","EXTRAHOTELEROS","mes",7,"año",2007)</f>
        <v>55089</v>
      </c>
      <c r="F49" s="52">
        <f>GETPIVOTDATA("dato",'[1]Turistas alojados tipologia'!$A$4,"categoría","TOTAL","mes",7,"año",2007)</f>
        <v>160319</v>
      </c>
    </row>
    <row r="50" spans="3:8" hidden="1" outlineLevel="1">
      <c r="C50" s="51" t="s">
        <v>43</v>
      </c>
      <c r="D50" s="52">
        <f>GETPIVOTDATA("dato",'[1]Turistas alojados tipologia'!$A$4,"categoría","Hoteleros","mes",6,"año",2007)</f>
        <v>96051</v>
      </c>
      <c r="E50" s="52">
        <f>GETPIVOTDATA("dato",'[1]Turistas alojados tipologia'!$A$4,"categoría","EXTRAHOTELEROS","mes",6,"año",2007)</f>
        <v>48455</v>
      </c>
      <c r="F50" s="52">
        <f>GETPIVOTDATA("dato",'[1]Turistas alojados tipologia'!$A$4,"categoría","TOTAL","mes",6,"año",2007)</f>
        <v>144506</v>
      </c>
    </row>
    <row r="51" spans="3:8" ht="16.5" hidden="1" outlineLevel="1" thickBot="1">
      <c r="C51" s="51" t="s">
        <v>44</v>
      </c>
      <c r="D51" s="52">
        <f>GETPIVOTDATA("dato",'[1]Turistas alojados tipologia'!$A$4,"categoría","Hoteleros","mes",5,"año",2007)</f>
        <v>79884</v>
      </c>
      <c r="E51" s="52">
        <f>GETPIVOTDATA("dato",'[1]Turistas alojados tipologia'!$A$4,"categoría","EXTRAHOTELEROS","mes",5,"año",2007)</f>
        <v>36244</v>
      </c>
      <c r="F51" s="52">
        <f>GETPIVOTDATA("dato",'[1]Turistas alojados tipologia'!$A$4,"categoría","TOTAL","mes",5,"año",2007)</f>
        <v>116128</v>
      </c>
      <c r="H51" s="60" t="s">
        <v>49</v>
      </c>
    </row>
    <row r="52" spans="3:8" hidden="1" outlineLevel="1">
      <c r="C52" s="51" t="s">
        <v>45</v>
      </c>
      <c r="D52" s="52">
        <f>GETPIVOTDATA("dato",'[1]Turistas alojados tipologia'!$A$4,"categoría","Hoteleros","mes",4,"año",2007)</f>
        <v>106135</v>
      </c>
      <c r="E52" s="52">
        <f>GETPIVOTDATA("dato",'[1]Turistas alojados tipologia'!$A$4,"categoría","EXTRAHOTELEROS","mes",4,"año",2007)</f>
        <v>54856</v>
      </c>
      <c r="F52" s="52">
        <f>GETPIVOTDATA("dato",'[1]Turistas alojados tipologia'!$A$4,"categoría","TOTAL","mes",4,"año",2007)</f>
        <v>160991</v>
      </c>
    </row>
    <row r="53" spans="3:8" hidden="1" outlineLevel="1">
      <c r="C53" s="51" t="s">
        <v>46</v>
      </c>
      <c r="D53" s="52">
        <f>GETPIVOTDATA("dato",'[1]Turistas alojados tipologia'!$A$4,"categoría","Hoteleros","mes",3,"año",2007)</f>
        <v>106181</v>
      </c>
      <c r="E53" s="52">
        <f>GETPIVOTDATA("dato",'[1]Turistas alojados tipologia'!$A$4,"categoría","EXTRAHOTELEROS","mes",3,"año",2007)</f>
        <v>68170</v>
      </c>
      <c r="F53" s="52">
        <f>GETPIVOTDATA("dato",'[1]Turistas alojados tipologia'!$A$4,"categoría","TOTAL","mes",3,"año",2007)</f>
        <v>174351</v>
      </c>
    </row>
    <row r="54" spans="3:8" hidden="1" outlineLevel="1">
      <c r="C54" s="51" t="s">
        <v>47</v>
      </c>
      <c r="D54" s="52">
        <f>GETPIVOTDATA("dato",'[1]Turistas alojados tipologia'!$A$4,"categoría","Hoteleros","mes",2,"año",2007)</f>
        <v>94017</v>
      </c>
      <c r="E54" s="52">
        <f>GETPIVOTDATA("dato",'[1]Turistas alojados tipologia'!$A$4,"categoría","EXTRAHOTELEROS","mes",2,"año",2007)</f>
        <v>57394</v>
      </c>
      <c r="F54" s="52">
        <f>GETPIVOTDATA("dato",'[1]Turistas alojados tipologia'!$A$4,"categoría","TOTAL","mes",2,"año",2007)</f>
        <v>151411</v>
      </c>
    </row>
    <row r="55" spans="3:8" hidden="1" outlineLevel="1">
      <c r="C55" s="51" t="s">
        <v>48</v>
      </c>
      <c r="D55" s="52">
        <f>GETPIVOTDATA("dato",'[1]Turistas alojados tipologia'!$A$4,"categoría","Hoteleros","mes",1,"año",2007)</f>
        <v>91231</v>
      </c>
      <c r="E55" s="52">
        <f>GETPIVOTDATA("dato",'[1]Turistas alojados tipologia'!$A$4,"categoría","EXTRAHOTELEROS","mes",1,"año",2007)</f>
        <v>55013</v>
      </c>
      <c r="F55" s="52">
        <f>GETPIVOTDATA("dato",'[1]Turistas alojados tipologia'!$A$4,"categoría","TOTAL","mes",1,"año",2007)</f>
        <v>146244</v>
      </c>
    </row>
    <row r="56" spans="3:8" collapsed="1">
      <c r="C56" s="58">
        <v>2007</v>
      </c>
      <c r="D56" s="59">
        <f>GETPIVOTDATA("dato",'[1]Turistas alojados tipologia'!$A$4,"categoría","Hoteleros","año",2007)</f>
        <v>1195570</v>
      </c>
      <c r="E56" s="59">
        <f>GETPIVOTDATA("dato",'[1]Turistas alojados tipologia'!$A$4,"categoría","EXTRAHOTELEROS","año",2007)</f>
        <v>672612</v>
      </c>
      <c r="F56" s="59">
        <f>GETPIVOTDATA("dato",'[1]Turistas alojados tipologia'!$A$4,"categoría","TOTAL","año",2007)</f>
        <v>1868182</v>
      </c>
    </row>
    <row r="57" spans="3:8" hidden="1" outlineLevel="1">
      <c r="C57" s="51" t="s">
        <v>37</v>
      </c>
      <c r="D57" s="52">
        <f>GETPIVOTDATA("dato",'[1]Turistas alojados tipologia'!$A$4,"categoría","Hoteleros","mes",12,"año",2006)</f>
        <v>99328</v>
      </c>
      <c r="E57" s="52">
        <f>GETPIVOTDATA("dato",'[1]Turistas alojados tipologia'!$A$4,"categoría","EXTRAHOTELEROS","mes",12,"año",2006)</f>
        <v>60521</v>
      </c>
      <c r="F57" s="52">
        <f>GETPIVOTDATA("dato",'[1]Turistas alojados tipologia'!$A$4,"categoría","TOTAL","mes",12,"año",2006)</f>
        <v>159849</v>
      </c>
    </row>
    <row r="58" spans="3:8" hidden="1" outlineLevel="1">
      <c r="C58" s="51" t="s">
        <v>38</v>
      </c>
      <c r="D58" s="52">
        <f>GETPIVOTDATA("dato",'[1]Turistas alojados tipologia'!$A$4,"categoría","Hoteleros","mes",11,"año",2006)</f>
        <v>100673</v>
      </c>
      <c r="E58" s="52">
        <f>GETPIVOTDATA("dato",'[1]Turistas alojados tipologia'!$A$4,"categoría","EXTRAHOTELEROS","mes",11,"año",2006)</f>
        <v>51603</v>
      </c>
      <c r="F58" s="52">
        <f>GETPIVOTDATA("dato",'[1]Turistas alojados tipologia'!$A$4,"categoría","TOTAL","mes",11,"año",2006)</f>
        <v>152276</v>
      </c>
    </row>
    <row r="59" spans="3:8" hidden="1" outlineLevel="1">
      <c r="C59" s="51" t="s">
        <v>39</v>
      </c>
      <c r="D59" s="52">
        <f>GETPIVOTDATA("dato",'[1]Turistas alojados tipologia'!$A$4,"categoría","Hoteleros","mes",10,"año",2006)</f>
        <v>112995</v>
      </c>
      <c r="E59" s="52">
        <f>GETPIVOTDATA("dato",'[1]Turistas alojados tipologia'!$A$4,"categoría","EXTRAHOTELEROS","mes",10,"año",2006)</f>
        <v>63866</v>
      </c>
      <c r="F59" s="52">
        <f>GETPIVOTDATA("dato",'[1]Turistas alojados tipologia'!$A$4,"categoría","TOTAL","mes",10,"año",2006)</f>
        <v>176861</v>
      </c>
    </row>
    <row r="60" spans="3:8" hidden="1" outlineLevel="1">
      <c r="C60" s="51" t="s">
        <v>40</v>
      </c>
      <c r="D60" s="52">
        <f>GETPIVOTDATA("dato",'[1]Turistas alojados tipologia'!$A$4,"categoría","Hoteleros","mes",9,"año",2006)</f>
        <v>103337</v>
      </c>
      <c r="E60" s="52">
        <f>GETPIVOTDATA("dato",'[1]Turistas alojados tipologia'!$A$4,"categoría","EXTRAHOTELEROS","mes",9,"año",2006)</f>
        <v>60303</v>
      </c>
      <c r="F60" s="52">
        <f>GETPIVOTDATA("dato",'[1]Turistas alojados tipologia'!$A$4,"categoría","TOTAL","mes",9,"año",2006)</f>
        <v>163640</v>
      </c>
    </row>
    <row r="61" spans="3:8" hidden="1" outlineLevel="1">
      <c r="C61" s="51" t="s">
        <v>41</v>
      </c>
      <c r="D61" s="52">
        <f>GETPIVOTDATA("dato",'[1]Turistas alojados tipologia'!$A$4,"categoría","Hoteleros","mes",8,"año",2006)</f>
        <v>112972</v>
      </c>
      <c r="E61" s="52">
        <f>GETPIVOTDATA("dato",'[1]Turistas alojados tipologia'!$A$4,"categoría","EXTRAHOTELEROS","mes",8,"año",2006)</f>
        <v>69263</v>
      </c>
      <c r="F61" s="52">
        <f>GETPIVOTDATA("dato",'[1]Turistas alojados tipologia'!$A$4,"categoría","TOTAL","mes",8,"año",2006)</f>
        <v>182235</v>
      </c>
    </row>
    <row r="62" spans="3:8" hidden="1" outlineLevel="1">
      <c r="C62" s="51" t="s">
        <v>42</v>
      </c>
      <c r="D62" s="52">
        <f>GETPIVOTDATA("dato",'[1]Turistas alojados tipologia'!$A$4,"categoría","Hoteleros","mes",7,"año",2006)</f>
        <v>104207</v>
      </c>
      <c r="E62" s="52">
        <f>GETPIVOTDATA("dato",'[1]Turistas alojados tipologia'!$A$4,"categoría","EXTRAHOTELEROS","mes",7,"año",2006)</f>
        <v>63787</v>
      </c>
      <c r="F62" s="52">
        <f>GETPIVOTDATA("dato",'[1]Turistas alojados tipologia'!$A$4,"categoría","TOTAL","mes",7,"año",2006)</f>
        <v>167994</v>
      </c>
    </row>
    <row r="63" spans="3:8" hidden="1" outlineLevel="1">
      <c r="C63" s="51" t="s">
        <v>43</v>
      </c>
      <c r="D63" s="52">
        <f>GETPIVOTDATA("dato",'[1]Turistas alojados tipologia'!$A$4,"categoría","Hoteleros","mes",6,"año",2006)</f>
        <v>95463</v>
      </c>
      <c r="E63" s="52">
        <f>GETPIVOTDATA("dato",'[1]Turistas alojados tipologia'!$A$4,"categoría","EXTRAHOTELEROS","mes",6,"año",2006)</f>
        <v>55579</v>
      </c>
      <c r="F63" s="52">
        <f>GETPIVOTDATA("dato",'[1]Turistas alojados tipologia'!$A$4,"categoría","TOTAL","mes",6,"año",2006)</f>
        <v>151042</v>
      </c>
    </row>
    <row r="64" spans="3:8" hidden="1" outlineLevel="1">
      <c r="C64" s="51" t="s">
        <v>44</v>
      </c>
      <c r="D64" s="52">
        <f>GETPIVOTDATA("dato",'[1]Turistas alojados tipologia'!$A$4,"categoría","Hoteleros","mes",5,"año",2006)</f>
        <v>89194</v>
      </c>
      <c r="E64" s="52">
        <f>GETPIVOTDATA("dato",'[1]Turistas alojados tipologia'!$A$4,"categoría","EXTRAHOTELEROS","mes",5,"año",2006)</f>
        <v>43124</v>
      </c>
      <c r="F64" s="52">
        <f>GETPIVOTDATA("dato",'[1]Turistas alojados tipologia'!$A$4,"categoría","TOTAL","mes",5,"año",2006)</f>
        <v>132318</v>
      </c>
    </row>
    <row r="65" spans="3:6" hidden="1" outlineLevel="1">
      <c r="C65" s="51" t="s">
        <v>45</v>
      </c>
      <c r="D65" s="52">
        <f>GETPIVOTDATA("dato",'[1]Turistas alojados tipologia'!$A$4,"categoría","Hoteleros","mes",4,"año",2006)</f>
        <v>113197</v>
      </c>
      <c r="E65" s="52">
        <f>GETPIVOTDATA("dato",'[1]Turistas alojados tipologia'!$A$4,"categoría","EXTRAHOTELEROS","mes",4,"año",2006)</f>
        <v>60845</v>
      </c>
      <c r="F65" s="52">
        <f>GETPIVOTDATA("dato",'[1]Turistas alojados tipologia'!$A$4,"categoría","TOTAL","mes",4,"año",2006)</f>
        <v>174042</v>
      </c>
    </row>
    <row r="66" spans="3:6" hidden="1" outlineLevel="1">
      <c r="C66" s="51" t="s">
        <v>46</v>
      </c>
      <c r="D66" s="52">
        <f>GETPIVOTDATA("dato",'[1]Turistas alojados tipologia'!$A$4,"categoría","Hoteleros","mes",3,"año",2006)</f>
        <v>103146</v>
      </c>
      <c r="E66" s="52">
        <f>GETPIVOTDATA("dato",'[1]Turistas alojados tipologia'!$A$4,"categoría","EXTRAHOTELEROS","mes",3,"año",2006)</f>
        <v>64603</v>
      </c>
      <c r="F66" s="52">
        <f>GETPIVOTDATA("dato",'[1]Turistas alojados tipologia'!$A$4,"categoría","TOTAL","mes",3,"año",2006)</f>
        <v>167749</v>
      </c>
    </row>
    <row r="67" spans="3:6" hidden="1" outlineLevel="1">
      <c r="C67" s="51" t="s">
        <v>47</v>
      </c>
      <c r="D67" s="52">
        <f>GETPIVOTDATA("dato",'[1]Turistas alojados tipologia'!$A$4,"categoría","Hoteleros","mes",2,"año",2006)</f>
        <v>92305</v>
      </c>
      <c r="E67" s="52">
        <f>GETPIVOTDATA("dato",'[1]Turistas alojados tipologia'!$A$4,"categoría","EXTRAHOTELEROS","mes",2,"año",2006)</f>
        <v>58440</v>
      </c>
      <c r="F67" s="52">
        <f>GETPIVOTDATA("dato",'[1]Turistas alojados tipologia'!$A$4,"categoría","TOTAL","mes",2,"año",2006)</f>
        <v>150745</v>
      </c>
    </row>
    <row r="68" spans="3:6" hidden="1" outlineLevel="1">
      <c r="C68" s="51" t="s">
        <v>48</v>
      </c>
      <c r="D68" s="52">
        <f>GETPIVOTDATA("dato",'[1]Turistas alojados tipologia'!$A$4,"categoría","Hoteleros","mes",1,"año",2006)</f>
        <v>95674</v>
      </c>
      <c r="E68" s="52">
        <f>GETPIVOTDATA("dato",'[1]Turistas alojados tipologia'!$A$4,"categoría","EXTRAHOTELEROS","mes",1,"año",2006)</f>
        <v>56994</v>
      </c>
      <c r="F68" s="52">
        <f>GETPIVOTDATA("dato",'[1]Turistas alojados tipologia'!$A$4,"categoría","TOTAL","mes",1,"año",2006)</f>
        <v>152668</v>
      </c>
    </row>
    <row r="69" spans="3:6" collapsed="1">
      <c r="C69" s="58">
        <v>2006</v>
      </c>
      <c r="D69" s="59">
        <f>GETPIVOTDATA("dato",'[1]Turistas alojados tipologia'!$A$4,"categoría","Hoteleros","año",2006)</f>
        <v>1222491</v>
      </c>
      <c r="E69" s="59">
        <f>GETPIVOTDATA("dato",'[1]Turistas alojados tipologia'!$A$4,"categoría","EXTRAHOTELEROS","año",2006)</f>
        <v>708928</v>
      </c>
      <c r="F69" s="59">
        <f>GETPIVOTDATA("dato",'[1]Turistas alojados tipologia'!$A$4,"categoría","TOTAL","año",2006)</f>
        <v>1931419</v>
      </c>
    </row>
    <row r="70" spans="3:6" ht="27" customHeight="1">
      <c r="C70" s="61" t="s">
        <v>50</v>
      </c>
      <c r="D70" s="62"/>
      <c r="E70" s="62"/>
      <c r="F70" s="63"/>
    </row>
  </sheetData>
  <mergeCells count="2">
    <mergeCell ref="C3:F3"/>
    <mergeCell ref="C70:F70"/>
  </mergeCells>
  <hyperlinks>
    <hyperlink ref="H51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2:L71"/>
  <sheetViews>
    <sheetView showGridLines="0" showRowColHeaders="0" zoomScaleNormal="100" workbookViewId="0">
      <selection activeCell="B25" sqref="B25"/>
    </sheetView>
  </sheetViews>
  <sheetFormatPr baseColWidth="10" defaultRowHeight="15" outlineLevelRow="1"/>
  <cols>
    <col min="1" max="1" width="14.7109375" style="121" customWidth="1"/>
    <col min="2" max="4" width="11.42578125" style="121"/>
    <col min="5" max="5" width="13.85546875" style="121" customWidth="1"/>
    <col min="6" max="7" width="11.42578125" style="121"/>
    <col min="8" max="8" width="14.140625" style="121" customWidth="1"/>
    <col min="9" max="10" width="11.42578125" style="121"/>
    <col min="11" max="11" width="14.28515625" style="121" customWidth="1"/>
    <col min="12" max="16384" width="11.42578125" style="121"/>
  </cols>
  <sheetData>
    <row r="2" spans="3:12" ht="44.25" customHeight="1"/>
    <row r="3" spans="3:12" ht="27" customHeight="1">
      <c r="C3" s="122" t="s">
        <v>255</v>
      </c>
      <c r="D3" s="122"/>
      <c r="E3" s="122"/>
      <c r="F3" s="122"/>
      <c r="G3" s="122"/>
      <c r="H3" s="122"/>
      <c r="I3" s="122"/>
      <c r="J3" s="122"/>
      <c r="K3" s="122"/>
      <c r="L3" s="122"/>
    </row>
    <row r="4" spans="3:12" ht="15" customHeight="1">
      <c r="C4" s="123"/>
      <c r="D4" s="124" t="s">
        <v>89</v>
      </c>
      <c r="E4" s="125"/>
      <c r="F4" s="125"/>
      <c r="G4" s="124" t="s">
        <v>92</v>
      </c>
      <c r="H4" s="125"/>
      <c r="I4" s="125"/>
      <c r="J4" s="124" t="s">
        <v>93</v>
      </c>
      <c r="K4" s="125"/>
      <c r="L4" s="125"/>
    </row>
    <row r="5" spans="3:12" ht="30">
      <c r="C5" s="127"/>
      <c r="D5" s="128" t="s">
        <v>94</v>
      </c>
      <c r="E5" s="128" t="s">
        <v>95</v>
      </c>
      <c r="F5" s="128" t="s">
        <v>69</v>
      </c>
      <c r="G5" s="128" t="s">
        <v>94</v>
      </c>
      <c r="H5" s="128" t="s">
        <v>95</v>
      </c>
      <c r="I5" s="128" t="s">
        <v>69</v>
      </c>
      <c r="J5" s="128" t="s">
        <v>96</v>
      </c>
      <c r="K5" s="128" t="s">
        <v>95</v>
      </c>
      <c r="L5" s="128" t="s">
        <v>36</v>
      </c>
    </row>
    <row r="6" spans="3:12" hidden="1">
      <c r="C6" s="51" t="s">
        <v>37</v>
      </c>
      <c r="D6" s="342">
        <f>GETPIVOTDATA("dato",'[1]tabla dinámica IO men'!$A$96,"categoría","Hoteleros","mes",12,"año",2010)</f>
        <v>0</v>
      </c>
      <c r="E6" s="342">
        <f>GETPIVOTDATA("dato",'[1]tabla dinámica IO men'!$A$96,"categoría","extrahoteleros","mes",12,"año",2010)</f>
        <v>0</v>
      </c>
      <c r="F6" s="342">
        <f>GETPIVOTDATA("dato",'[1]tabla dinámica IO men'!$A$96,"categoría","total","mes",12,"año",2010)</f>
        <v>0</v>
      </c>
      <c r="G6" s="342">
        <f>GETPIVOTDATA("Suma de hotel Z4",'[1]tabla dinámica IO men'!$A$2,"MES","12","AÑO",2010)</f>
        <v>0</v>
      </c>
      <c r="H6" s="342">
        <f>GETPIVOTDATA("Suma de extra-h Z4",'[1]tabla dinámica IO men'!$A$2,"MES","12","AÑO",2010)</f>
        <v>0</v>
      </c>
      <c r="I6" s="342">
        <f>GETPIVOTDATA("Suma de TOTAL Z4",'[1]tabla dinámica IO men'!$A$2,"MES","12","AÑO",2010)</f>
        <v>0</v>
      </c>
      <c r="J6" s="342">
        <f>GETPIVOTDATA("Suma de TOTAL hotelero",'[1]tabla dinámica IO men'!$A$2,"MES","12","AÑO",2010)</f>
        <v>0</v>
      </c>
      <c r="K6" s="342">
        <f>GETPIVOTDATA("Suma de extrahoteleros",'[1]tabla dinámica IO men'!$A$2,"MES","12","AÑO",2010)</f>
        <v>0</v>
      </c>
      <c r="L6" s="342">
        <f>GETPIVOTDATA("Suma de TOTAL general",'[1]tabla dinámica IO men'!$A$2,"MES","12","AÑO",2010)</f>
        <v>0</v>
      </c>
    </row>
    <row r="7" spans="3:12" hidden="1">
      <c r="C7" s="51" t="s">
        <v>38</v>
      </c>
      <c r="D7" s="342">
        <f>GETPIVOTDATA("dato",'[1]tabla dinámica IO men'!$A$96,"categoría","Hoteleros","mes",11,"año",2010)</f>
        <v>0</v>
      </c>
      <c r="E7" s="342">
        <f>GETPIVOTDATA("dato",'[1]tabla dinámica IO men'!$A$96,"categoría","extrahoteleros","mes",11,"año",2010)</f>
        <v>0</v>
      </c>
      <c r="F7" s="342">
        <f>GETPIVOTDATA("dato",'[1]tabla dinámica IO men'!$A$96,"categoría","total","mes",11,"año",2010)</f>
        <v>0</v>
      </c>
      <c r="G7" s="342">
        <f>GETPIVOTDATA("Suma de hotel Z4",'[1]tabla dinámica IO men'!$A$2,"MES","11","AÑO",2010)</f>
        <v>0</v>
      </c>
      <c r="H7" s="342">
        <f>GETPIVOTDATA("Suma de extra-h Z4",'[1]tabla dinámica IO men'!$A$2,"MES","11","AÑO",2010)</f>
        <v>0</v>
      </c>
      <c r="I7" s="342">
        <f>GETPIVOTDATA("Suma de TOTAL Z4",'[1]tabla dinámica IO men'!$A$2,"MES","11","AÑO",2010)</f>
        <v>0</v>
      </c>
      <c r="J7" s="342">
        <f>GETPIVOTDATA("Suma de TOTAL hotelero",'[1]tabla dinámica IO men'!$A$2,"MES","11","AÑO",2010)</f>
        <v>0</v>
      </c>
      <c r="K7" s="342">
        <f>GETPIVOTDATA("Suma de extrahoteleros",'[1]tabla dinámica IO men'!$A$2,"MES","11","AÑO",2010)</f>
        <v>0</v>
      </c>
      <c r="L7" s="342">
        <f>GETPIVOTDATA("Suma de TOTAL general",'[1]tabla dinámica IO men'!$A$2,"MES","11","AÑO",2010)</f>
        <v>0</v>
      </c>
    </row>
    <row r="8" spans="3:12" hidden="1">
      <c r="C8" s="51" t="s">
        <v>39</v>
      </c>
      <c r="D8" s="342">
        <f>GETPIVOTDATA("dato",'[1]tabla dinámica IO men'!$A$96,"categoría","Hoteleros","mes",10,"año",2010)</f>
        <v>0</v>
      </c>
      <c r="E8" s="342">
        <f>GETPIVOTDATA("dato",'[1]tabla dinámica IO men'!$A$96,"categoría","extrahoteleros","mes",10,"año",2010)</f>
        <v>0</v>
      </c>
      <c r="F8" s="342">
        <f>GETPIVOTDATA("dato",'[1]tabla dinámica IO men'!$A$96,"categoría","total","mes",10,"año",2010)</f>
        <v>0</v>
      </c>
      <c r="G8" s="342">
        <f>GETPIVOTDATA("Suma de hotel Z4",'[1]tabla dinámica IO men'!$A$2,"MES","10","AÑO",2010)</f>
        <v>0</v>
      </c>
      <c r="H8" s="342">
        <f>GETPIVOTDATA("Suma de extra-h Z4",'[1]tabla dinámica IO men'!$A$2,"MES","10","AÑO",2010)</f>
        <v>0</v>
      </c>
      <c r="I8" s="342">
        <f>GETPIVOTDATA("Suma de TOTAL Z4",'[1]tabla dinámica IO men'!$A$2,"MES","10","AÑO",2010)</f>
        <v>0</v>
      </c>
      <c r="J8" s="342">
        <f>GETPIVOTDATA("Suma de TOTAL hotelero",'[1]tabla dinámica IO men'!$A$2,"MES","10","AÑO",2010)</f>
        <v>0</v>
      </c>
      <c r="K8" s="342">
        <f>GETPIVOTDATA("Suma de extrahoteleros",'[1]tabla dinámica IO men'!$A$2,"MES","10","AÑO",2010)</f>
        <v>0</v>
      </c>
      <c r="L8" s="342">
        <f>GETPIVOTDATA("Suma de TOTAL general",'[1]tabla dinámica IO men'!$A$2,"MES","10","AÑO",2010)</f>
        <v>0</v>
      </c>
    </row>
    <row r="9" spans="3:12" hidden="1">
      <c r="C9" s="51" t="s">
        <v>40</v>
      </c>
      <c r="D9" s="342">
        <f>GETPIVOTDATA("dato",'[1]tabla dinámica IO men'!$A$96,"categoría","Hoteleros","mes",9,"año",2010)</f>
        <v>0</v>
      </c>
      <c r="E9" s="342">
        <f>GETPIVOTDATA("dato",'[1]tabla dinámica IO men'!$A$96,"categoría","extrahoteleros","mes",9,"año",2010)</f>
        <v>0</v>
      </c>
      <c r="F9" s="342">
        <f>GETPIVOTDATA("dato",'[1]tabla dinámica IO men'!$A$96,"categoría","total","mes",9,"año",2010)</f>
        <v>0</v>
      </c>
      <c r="G9" s="342">
        <f>GETPIVOTDATA("Suma de hotel Z4",'[1]tabla dinámica IO men'!$A$2,"MES","9","AÑO",2010)</f>
        <v>0</v>
      </c>
      <c r="H9" s="342">
        <f>GETPIVOTDATA("Suma de extra-h Z4",'[1]tabla dinámica IO men'!$A$2,"MES","9","AÑO",2010)</f>
        <v>0</v>
      </c>
      <c r="I9" s="342">
        <f>GETPIVOTDATA("Suma de TOTAL Z4",'[1]tabla dinámica IO men'!$A$2,"MES","9","AÑO",2010)</f>
        <v>0</v>
      </c>
      <c r="J9" s="342">
        <f>GETPIVOTDATA("Suma de TOTAL hotelero",'[1]tabla dinámica IO men'!$A$2,"MES","9","AÑO",2010)</f>
        <v>0</v>
      </c>
      <c r="K9" s="342">
        <f>GETPIVOTDATA("Suma de extrahoteleros",'[1]tabla dinámica IO men'!$A$2,"MES","9","AÑO",2010)</f>
        <v>0</v>
      </c>
      <c r="L9" s="342">
        <f>GETPIVOTDATA("Suma de TOTAL general",'[1]tabla dinámica IO men'!$A$2,"MES","9","AÑO",2010)</f>
        <v>0</v>
      </c>
    </row>
    <row r="10" spans="3:12" hidden="1">
      <c r="C10" s="51" t="s">
        <v>41</v>
      </c>
      <c r="D10" s="342">
        <f>GETPIVOTDATA("dato",'[1]tabla dinámica IO men'!$A$96,"categoría","Hoteleros","mes",8,"año",2010)</f>
        <v>0</v>
      </c>
      <c r="E10" s="342">
        <f>GETPIVOTDATA("dato",'[1]tabla dinámica IO men'!$A$96,"categoría","extrahoteleros","mes",8,"año",2010)</f>
        <v>0</v>
      </c>
      <c r="F10" s="342">
        <f>GETPIVOTDATA("dato",'[1]tabla dinámica IO men'!$A$96,"categoría","total","mes",8,"año",2010)</f>
        <v>0</v>
      </c>
      <c r="G10" s="342">
        <f>GETPIVOTDATA("Suma de hotel Z4",'[1]tabla dinámica IO men'!$A$2,"MES","8","AÑO",2010)</f>
        <v>0</v>
      </c>
      <c r="H10" s="342">
        <f>GETPIVOTDATA("Suma de extra-h Z4",'[1]tabla dinámica IO men'!$A$2,"MES","8","AÑO",2010)</f>
        <v>0</v>
      </c>
      <c r="I10" s="342">
        <f>GETPIVOTDATA("Suma de TOTAL Z4",'[1]tabla dinámica IO men'!$A$2,"MES","8","AÑO",2010)</f>
        <v>0</v>
      </c>
      <c r="J10" s="342">
        <f>GETPIVOTDATA("Suma de TOTAL hotelero",'[1]tabla dinámica IO men'!$A$2,"MES","8","AÑO",2010)</f>
        <v>0</v>
      </c>
      <c r="K10" s="342">
        <f>GETPIVOTDATA("Suma de extrahoteleros",'[1]tabla dinámica IO men'!$A$2,"MES","8","AÑO",2010)</f>
        <v>0</v>
      </c>
      <c r="L10" s="342">
        <f>GETPIVOTDATA("Suma de TOTAL general",'[1]tabla dinámica IO men'!$A$2,"MES","8","AÑO",2010)</f>
        <v>0</v>
      </c>
    </row>
    <row r="11" spans="3:12">
      <c r="C11" s="51" t="s">
        <v>42</v>
      </c>
      <c r="D11" s="342">
        <f>GETPIVOTDATA("dato",'[1]tabla dinámica IO men'!$A$96,"categoría","Hoteleros","mes",7,"año",2010)</f>
        <v>81.671960373292222</v>
      </c>
      <c r="E11" s="342">
        <f>GETPIVOTDATA("dato",'[1]tabla dinámica IO men'!$A$96,"categoría","extrahoteleros","mes",7,"año",2010)</f>
        <v>51.150887972619721</v>
      </c>
      <c r="F11" s="342">
        <f>GETPIVOTDATA("dato",'[1]tabla dinámica IO men'!$A$96,"categoría","total","mes",7,"año",2010)</f>
        <v>67.123647350193707</v>
      </c>
      <c r="G11" s="342">
        <f>GETPIVOTDATA("Suma de hotel Z4",'[1]tabla dinámica IO men'!$A$2,"MES","7","AÑO",2010)</f>
        <v>76.918986489208933</v>
      </c>
      <c r="H11" s="342">
        <f>GETPIVOTDATA("Suma de extra-h Z4",'[1]tabla dinámica IO men'!$A$2,"MES","7","AÑO",2010)</f>
        <v>52.871804315184804</v>
      </c>
      <c r="I11" s="342">
        <f>GETPIVOTDATA("Suma de TOTAL Z4",'[1]tabla dinámica IO men'!$A$2,"MES","7","AÑO",2010)</f>
        <v>63.83236517044103</v>
      </c>
      <c r="J11" s="342">
        <f>GETPIVOTDATA("Suma de TOTAL hotelero",'[1]tabla dinámica IO men'!$A$2,"MES","7","AÑO",2010)</f>
        <v>69.497909001516803</v>
      </c>
      <c r="K11" s="342">
        <f>GETPIVOTDATA("Suma de extrahoteleros",'[1]tabla dinámica IO men'!$A$2,"MES","7","AÑO",2010)</f>
        <v>50.674079070869361</v>
      </c>
      <c r="L11" s="342">
        <f>GETPIVOTDATA("Suma de TOTAL general",'[1]tabla dinámica IO men'!$A$2,"MES","7","AÑO",2010)</f>
        <v>59.913948047662259</v>
      </c>
    </row>
    <row r="12" spans="3:12">
      <c r="C12" s="51" t="s">
        <v>43</v>
      </c>
      <c r="D12" s="342">
        <f>GETPIVOTDATA("dato",'[1]tabla dinámica IO men'!$A$96,"categoría","Hoteleros","mes",6,"año",2010)</f>
        <v>65.570435753056358</v>
      </c>
      <c r="E12" s="342">
        <f>GETPIVOTDATA("dato",'[1]tabla dinámica IO men'!$A$96,"categoría","extrahoteleros","mes",6,"año",2010)</f>
        <v>38.195257563368763</v>
      </c>
      <c r="F12" s="342">
        <f>GETPIVOTDATA("dato",'[1]tabla dinámica IO men'!$A$96,"categoría","total","mes",6,"año",2010)</f>
        <v>52.37484891481423</v>
      </c>
      <c r="G12" s="342">
        <f>GETPIVOTDATA("Suma de hotel Z4",'[1]tabla dinámica IO men'!$A$2,"MES","6","AÑO",2010)</f>
        <v>62.943343300144882</v>
      </c>
      <c r="H12" s="342">
        <f>GETPIVOTDATA("Suma de extra-h Z4",'[1]tabla dinámica IO men'!$A$2,"MES","6","AÑO",2010)</f>
        <v>40.294065387348972</v>
      </c>
      <c r="I12" s="342">
        <f>GETPIVOTDATA("Suma de TOTAL Z4",'[1]tabla dinámica IO men'!$A$2,"MES","6","AÑO",2010)</f>
        <v>50.522293525620505</v>
      </c>
      <c r="J12" s="342">
        <f>GETPIVOTDATA("Suma de TOTAL hotelero",'[1]tabla dinámica IO men'!$A$2,"MES","6","AÑO",2010)</f>
        <v>60.247435704848954</v>
      </c>
      <c r="K12" s="342">
        <f>GETPIVOTDATA("Suma de extrahoteleros",'[1]tabla dinámica IO men'!$A$2,"MES","6","AÑO",2010)</f>
        <v>39.683073628774395</v>
      </c>
      <c r="L12" s="342">
        <f>GETPIVOTDATA("Suma de TOTAL general",'[1]tabla dinámica IO men'!$A$2,"MES","6","AÑO",2010)</f>
        <v>49.642168960120578</v>
      </c>
    </row>
    <row r="13" spans="3:12">
      <c r="C13" s="51" t="s">
        <v>44</v>
      </c>
      <c r="D13" s="342">
        <f>GETPIVOTDATA("dato",'[1]tabla dinámica IO men'!$A$96,"categoría","Hoteleros","mes",5,"año",2010)</f>
        <v>62.078340312516872</v>
      </c>
      <c r="E13" s="342">
        <f>GETPIVOTDATA("dato",'[1]tabla dinámica IO men'!$A$96,"categoría","extrahoteleros","mes",5,"año",2010)</f>
        <v>33.790942420805528</v>
      </c>
      <c r="F13" s="342">
        <f>GETPIVOTDATA("dato",'[1]tabla dinámica IO men'!$A$96,"categoría","total","mes",5,"año",2010)</f>
        <v>48.443038554057559</v>
      </c>
      <c r="G13" s="342">
        <f>GETPIVOTDATA("Suma de hotel Z4",'[1]tabla dinámica IO men'!$A$2,"MES","5","AÑO",2010)</f>
        <v>58.395638335002204</v>
      </c>
      <c r="H13" s="342">
        <f>GETPIVOTDATA("Suma de extra-h Z4",'[1]tabla dinámica IO men'!$A$2,"MES","5","AÑO",2010)</f>
        <v>34.476481974590513</v>
      </c>
      <c r="I13" s="342">
        <f>GETPIVOTDATA("Suma de TOTAL Z4",'[1]tabla dinámica IO men'!$A$2,"MES","5","AÑO",2010)</f>
        <v>45.27817680438735</v>
      </c>
      <c r="J13" s="342">
        <f>GETPIVOTDATA("Suma de TOTAL hotelero",'[1]tabla dinámica IO men'!$A$2,"MES","5","AÑO",2010)</f>
        <v>55.604857813059709</v>
      </c>
      <c r="K13" s="342">
        <f>GETPIVOTDATA("Suma de extrahoteleros",'[1]tabla dinámica IO men'!$A$2,"MES","5","AÑO",2010)</f>
        <v>33.843419783284723</v>
      </c>
      <c r="L13" s="342">
        <f>GETPIVOTDATA("Suma de TOTAL general",'[1]tabla dinámica IO men'!$A$2,"MES","5","AÑO",2010)</f>
        <v>44.382245888562132</v>
      </c>
    </row>
    <row r="14" spans="3:12">
      <c r="C14" s="51" t="s">
        <v>45</v>
      </c>
      <c r="D14" s="342">
        <f>GETPIVOTDATA("dato",'[1]tabla dinámica IO men'!$A$96,"categoría","Hoteleros","mes",4,"año",2010)</f>
        <v>69.260690914624874</v>
      </c>
      <c r="E14" s="342">
        <f>GETPIVOTDATA("dato",'[1]tabla dinámica IO men'!$A$96,"categoría","extrahoteleros","mes",4,"año",2010)</f>
        <v>41.276860179885524</v>
      </c>
      <c r="F14" s="342">
        <f>GETPIVOTDATA("dato",'[1]tabla dinámica IO men'!$A$96,"categoría","total","mes",4,"año",2010)</f>
        <v>55.771716853224028</v>
      </c>
      <c r="G14" s="342">
        <f>GETPIVOTDATA("Suma de hotel Z4",'[1]tabla dinámica IO men'!$A$2,"MES","4","AÑO",2010)</f>
        <v>64.765317550835874</v>
      </c>
      <c r="H14" s="342">
        <f>GETPIVOTDATA("Suma de extra-h Z4",'[1]tabla dinámica IO men'!$A$2,"MES","4","AÑO",2010)</f>
        <v>41.652367414627541</v>
      </c>
      <c r="I14" s="342">
        <f>GETPIVOTDATA("Suma de TOTAL Z4",'[1]tabla dinámica IO men'!$A$2,"MES","4","AÑO",2010)</f>
        <v>52.089986125998209</v>
      </c>
      <c r="J14" s="342">
        <f>GETPIVOTDATA("Suma de TOTAL hotelero",'[1]tabla dinámica IO men'!$A$2,"MES","4","AÑO",2010)</f>
        <v>60.733987358593033</v>
      </c>
      <c r="K14" s="342">
        <f>GETPIVOTDATA("Suma de extrahoteleros",'[1]tabla dinámica IO men'!$A$2,"MES","4","AÑO",2010)</f>
        <v>40.7950287194178</v>
      </c>
      <c r="L14" s="342">
        <f>GETPIVOTDATA("Suma de TOTAL general",'[1]tabla dinámica IO men'!$A$2,"MES","4","AÑO",2010)</f>
        <v>50.451248015728673</v>
      </c>
    </row>
    <row r="15" spans="3:12">
      <c r="C15" s="51" t="s">
        <v>46</v>
      </c>
      <c r="D15" s="342">
        <f>GETPIVOTDATA("dato",'[1]tabla dinámica IO men'!$A$96,"categoría","Hoteleros","mes",3,"año",2010)</f>
        <v>68.381794885641213</v>
      </c>
      <c r="E15" s="342">
        <f>GETPIVOTDATA("dato",'[1]tabla dinámica IO men'!$A$96,"categoría","extrahoteleros","mes",3,"año",2010)</f>
        <v>46.607865375992404</v>
      </c>
      <c r="F15" s="342">
        <f>GETPIVOTDATA("dato",'[1]tabla dinámica IO men'!$A$96,"categoría","total","mes",3,"año",2010)</f>
        <v>57.886163563593087</v>
      </c>
      <c r="G15" s="342">
        <f>GETPIVOTDATA("Suma de hotel Z4",'[1]tabla dinámica IO men'!$A$2,"MES","3","AÑO",2010)</f>
        <v>67.336186486435423</v>
      </c>
      <c r="H15" s="342">
        <f>GETPIVOTDATA("Suma de extra-h Z4",'[1]tabla dinámica IO men'!$A$2,"MES","3","AÑO",2010)</f>
        <v>50.690384483114379</v>
      </c>
      <c r="I15" s="342">
        <f>GETPIVOTDATA("Suma de TOTAL Z4",'[1]tabla dinámica IO men'!$A$2,"MES","3","AÑO",2010)</f>
        <v>58.207492140585295</v>
      </c>
      <c r="J15" s="342">
        <f>GETPIVOTDATA("Suma de TOTAL hotelero",'[1]tabla dinámica IO men'!$A$2,"MES","3","AÑO",2010)</f>
        <v>65.049756389941592</v>
      </c>
      <c r="K15" s="342">
        <f>GETPIVOTDATA("Suma de extrahoteleros",'[1]tabla dinámica IO men'!$A$2,"MES","3","AÑO",2010)</f>
        <v>50.162942500024499</v>
      </c>
      <c r="L15" s="342">
        <f>GETPIVOTDATA("Suma de TOTAL general",'[1]tabla dinámica IO men'!$A$2,"MES","3","AÑO",2010)</f>
        <v>57.372463425654566</v>
      </c>
    </row>
    <row r="16" spans="3:12">
      <c r="C16" s="51" t="s">
        <v>47</v>
      </c>
      <c r="D16" s="342">
        <f>GETPIVOTDATA("dato",'[1]tabla dinámica IO men'!$A$96,"categoría","Hoteleros","mes",2,"año",2010)</f>
        <v>71.33</v>
      </c>
      <c r="E16" s="342">
        <f>GETPIVOTDATA("dato",'[1]tabla dinámica IO men'!$A$96,"categoría","extrahoteleros","mes",2,"año",2010)</f>
        <v>49.64</v>
      </c>
      <c r="F16" s="342">
        <f>GETPIVOTDATA("dato",'[1]tabla dinámica IO men'!$A$96,"categoría","total","mes",2,"año",2010)</f>
        <v>60.88</v>
      </c>
      <c r="G16" s="342">
        <f>GETPIVOTDATA("Suma de hotel Z4",'[1]tabla dinámica IO men'!$A$2,"MES","2","AÑO",2010)</f>
        <v>69.242404893278788</v>
      </c>
      <c r="H16" s="342">
        <f>GETPIVOTDATA("Suma de extra-h Z4",'[1]tabla dinámica IO men'!$A$2,"MES","2","AÑO",2010)</f>
        <v>52.829330026253572</v>
      </c>
      <c r="I16" s="342">
        <f>GETPIVOTDATA("Suma de TOTAL Z4",'[1]tabla dinámica IO men'!$A$2,"MES","2","AÑO",2010)</f>
        <v>60.241340017778342</v>
      </c>
      <c r="J16" s="342">
        <f>GETPIVOTDATA("Suma de TOTAL hotelero",'[1]tabla dinámica IO men'!$A$2,"MES","2","AÑO",2010)</f>
        <v>69.267910998420234</v>
      </c>
      <c r="K16" s="342">
        <f>GETPIVOTDATA("Suma de extrahoteleros",'[1]tabla dinámica IO men'!$A$2,"MES","2","AÑO",2010)</f>
        <v>53.139087137958619</v>
      </c>
      <c r="L16" s="342">
        <f>GETPIVOTDATA("Suma de TOTAL general",'[1]tabla dinámica IO men'!$A$2,"MES","2","AÑO",2010)</f>
        <v>60.950099889757524</v>
      </c>
    </row>
    <row r="17" spans="2:12">
      <c r="C17" s="51" t="s">
        <v>48</v>
      </c>
      <c r="D17" s="342">
        <f>GETPIVOTDATA("dato",'[1]tabla dinámica IO men'!$A$96,"categoría","Hoteleros","mes",1,"año",2010)</f>
        <v>70.41</v>
      </c>
      <c r="E17" s="342">
        <f>GETPIVOTDATA("dato",'[1]tabla dinámica IO men'!$A$96,"categoría","extrahoteleros","mes",1,"año",2010)</f>
        <v>46.97</v>
      </c>
      <c r="F17" s="342">
        <f>GETPIVOTDATA("dato",'[1]tabla dinámica IO men'!$A$96,"categoría","total","mes",1,"año",2010)</f>
        <v>59.11</v>
      </c>
      <c r="G17" s="342">
        <f>GETPIVOTDATA("Suma de hotel Z4",'[1]tabla dinámica IO men'!$A$2,"MES","1","AÑO",2010)</f>
        <v>67.274237797450652</v>
      </c>
      <c r="H17" s="342">
        <f>GETPIVOTDATA("Suma de extra-h Z4",'[1]tabla dinámica IO men'!$A$2,"MES","1","AÑO",2010)</f>
        <v>50.216372056766858</v>
      </c>
      <c r="I17" s="342">
        <f>GETPIVOTDATA("Suma de TOTAL Z4",'[1]tabla dinámica IO men'!$A$2,"MES","1","AÑO",2010)</f>
        <v>57.919564318324596</v>
      </c>
      <c r="J17" s="342">
        <f>GETPIVOTDATA("Suma de TOTAL hotelero",'[1]tabla dinámica IO men'!$A$2,"MES","1","AÑO",2010)</f>
        <v>66.662640978301908</v>
      </c>
      <c r="K17" s="342">
        <f>GETPIVOTDATA("Suma de extrahoteleros",'[1]tabla dinámica IO men'!$A$2,"MES","1","AÑO",2010)</f>
        <v>50.378495650432853</v>
      </c>
      <c r="L17" s="342">
        <f>GETPIVOTDATA("Suma de TOTAL general",'[1]tabla dinámica IO men'!$A$2,"MES","1","AÑO",2010)</f>
        <v>58.264728887807387</v>
      </c>
    </row>
    <row r="18" spans="2:12" ht="30">
      <c r="C18" s="69" t="s">
        <v>54</v>
      </c>
      <c r="D18" s="343">
        <f>'[1]tabla dinámica municipios'!$T$311*100</f>
        <v>69.815886269859277</v>
      </c>
      <c r="E18" s="343">
        <f>'[1]tabla dinámica municipios'!$S$311*100</f>
        <v>43.885093047549042</v>
      </c>
      <c r="F18" s="343">
        <f>'[1]tabla dinámica municipios'!$U$311*100</f>
        <v>57.336689255463426</v>
      </c>
      <c r="G18" s="343">
        <f>GETPIVOTDATA("Suma de hotel Z4",'[1]tabla dinámica IO men'!$A$201,"MES","6","AÑO",2010)</f>
        <v>64.935000573076053</v>
      </c>
      <c r="H18" s="343">
        <f>GETPIVOTDATA("Suma de extra-h Z4",'[1]tabla dinámica IO men'!$A$201,"MES","6","AÑO",2010)</f>
        <v>44.941959219574692</v>
      </c>
      <c r="I18" s="343">
        <f>GETPIVOTDATA("Suma de TOTAL Z4",'[1]tabla dinámica IO men'!$A$201,"MES","6","AÑO",2010)</f>
        <v>53.970652713859501</v>
      </c>
      <c r="J18" s="343">
        <f>GETPIVOTDATA("Suma de TOTAL hotelero",'[1]tabla dinámica IO men'!$A$201,"MES","6","AÑO",2010)</f>
        <v>62.849608345190198</v>
      </c>
      <c r="K18" s="343">
        <f>GETPIVOTDATA("Suma de extrahoteleros",'[1]tabla dinámica IO men'!$A$201,"MES","6","AÑO",2010)</f>
        <v>44.575514399196749</v>
      </c>
      <c r="L18" s="343">
        <f>GETPIVOTDATA("Suma de TOTAL general",'[1]tabla dinámica IO men'!$A$201,"MES","6","AÑO",2010)</f>
        <v>53.425457958295219</v>
      </c>
    </row>
    <row r="19" spans="2:12" hidden="1" outlineLevel="1">
      <c r="C19" s="51" t="s">
        <v>37</v>
      </c>
      <c r="D19" s="342">
        <f>GETPIVOTDATA("dato",'[1]tabla dinámica IO men'!$A$96,"categoría","Hoteleros","mes",12,"año",2009)</f>
        <v>65.496761870653899</v>
      </c>
      <c r="E19" s="342">
        <f>GETPIVOTDATA("dato",'[1]tabla dinámica IO men'!$A$96,"categoría","extrahoteleros","mes",12,"año",2009)</f>
        <v>44.785032258064518</v>
      </c>
      <c r="F19" s="342">
        <f>GETPIVOTDATA("dato",'[1]tabla dinámica IO men'!$A$96,"categoría","total","mes",12,"año",2009)</f>
        <v>55.501833903122694</v>
      </c>
      <c r="G19" s="342">
        <f>GETPIVOTDATA("Suma de hotel Z4",'[1]tabla dinámica IO men'!$A$2,"MES","12","AÑO",2009)</f>
        <v>61.67663814221325</v>
      </c>
      <c r="H19" s="342">
        <f>GETPIVOTDATA("Suma de extra-h Z4",'[1]tabla dinámica IO men'!$A$2,"MES","12","AÑO",2009)</f>
        <v>46.675944105375194</v>
      </c>
      <c r="I19" s="342">
        <f>GETPIVOTDATA("Suma de TOTAL Z4",'[1]tabla dinámica IO men'!$A$2,"MES","12","AÑO",2009)</f>
        <v>53.41304117657743</v>
      </c>
      <c r="J19" s="342">
        <f>GETPIVOTDATA("Suma de TOTAL hotelero",'[1]tabla dinámica IO men'!$A$2,"MES","12","AÑO",2009)</f>
        <v>60.721348346029949</v>
      </c>
      <c r="K19" s="342">
        <f>GETPIVOTDATA("Suma de extrahoteleros",'[1]tabla dinámica IO men'!$A$2,"MES","12","AÑO",2009)</f>
        <v>46.862482306330861</v>
      </c>
      <c r="L19" s="342">
        <f>GETPIVOTDATA("Suma de TOTAL general",'[1]tabla dinámica IO men'!$A$2,"MES","12","AÑO",2009)</f>
        <v>53.539055226095769</v>
      </c>
    </row>
    <row r="20" spans="2:12" hidden="1" outlineLevel="1">
      <c r="C20" s="51" t="s">
        <v>38</v>
      </c>
      <c r="D20" s="342">
        <f>GETPIVOTDATA("dato",'[1]tabla dinámica IO men'!$A$96,"categoría","Hoteleros","mes",11,"año",2009)</f>
        <v>70.620069438226835</v>
      </c>
      <c r="E20" s="342">
        <f>GETPIVOTDATA("dato",'[1]tabla dinámica IO men'!$A$96,"categoría","extrahoteleros","mes",11,"año",2009)</f>
        <v>45.956053333333337</v>
      </c>
      <c r="F20" s="342">
        <f>GETPIVOTDATA("dato",'[1]tabla dinámica IO men'!$A$96,"categoría","total","mes",11,"año",2009)</f>
        <v>58.71787348600666</v>
      </c>
      <c r="G20" s="342">
        <f>GETPIVOTDATA("Suma de hotel Z4",'[1]tabla dinámica IO men'!$A$2,"MES","11","AÑO",2009)</f>
        <v>65.519439815310292</v>
      </c>
      <c r="H20" s="342">
        <f>GETPIVOTDATA("Suma de extra-h Z4",'[1]tabla dinámica IO men'!$A$2,"MES","11","AÑO",2009)</f>
        <v>47.111446271205452</v>
      </c>
      <c r="I20" s="342">
        <f>GETPIVOTDATA("Suma de TOTAL Z4",'[1]tabla dinámica IO men'!$A$2,"MES","11","AÑO",2009)</f>
        <v>55.378826372962358</v>
      </c>
      <c r="J20" s="342">
        <f>GETPIVOTDATA("Suma de TOTAL hotelero",'[1]tabla dinámica IO men'!$A$2,"MES","11","AÑO",2009)</f>
        <v>63.467484961176638</v>
      </c>
      <c r="K20" s="342">
        <f>GETPIVOTDATA("Suma de extrahoteleros",'[1]tabla dinámica IO men'!$A$2,"MES","11","AÑO",2009)</f>
        <v>46.961393537075921</v>
      </c>
      <c r="L20" s="342">
        <f>GETPIVOTDATA("Suma de TOTAL general",'[1]tabla dinámica IO men'!$A$2,"MES","11","AÑO",2009)</f>
        <v>54.913279549801061</v>
      </c>
    </row>
    <row r="21" spans="2:12" hidden="1" outlineLevel="1">
      <c r="C21" s="51" t="s">
        <v>39</v>
      </c>
      <c r="D21" s="342">
        <f>GETPIVOTDATA("dato",'[1]tabla dinámica IO men'!$A$96,"categoría","Hoteleros","mes",10,"año",2009)</f>
        <v>67.260957508156693</v>
      </c>
      <c r="E21" s="342">
        <f>GETPIVOTDATA("dato",'[1]tabla dinámica IO men'!$A$96,"categoría","extrahoteleros","mes",10,"año",2009)</f>
        <v>41.265135483870971</v>
      </c>
      <c r="F21" s="342">
        <f>GETPIVOTDATA("dato",'[1]tabla dinámica IO men'!$A$96,"categoría","total","mes",10,"año",2009)</f>
        <v>54.716067561758173</v>
      </c>
      <c r="G21" s="342">
        <f>GETPIVOTDATA("Suma de hotel Z4",'[1]tabla dinámica IO men'!$A$2,"MES","10","AÑO",2009)</f>
        <v>65.118609678257783</v>
      </c>
      <c r="H21" s="342">
        <f>GETPIVOTDATA("Suma de extra-h Z4",'[1]tabla dinámica IO men'!$A$2,"MES","10","AÑO",2009)</f>
        <v>44.136737812907491</v>
      </c>
      <c r="I21" s="342">
        <f>GETPIVOTDATA("Suma de TOTAL Z4",'[1]tabla dinámica IO men'!$A$2,"MES","10","AÑO",2009)</f>
        <v>53.560095635235832</v>
      </c>
      <c r="J21" s="342">
        <f>GETPIVOTDATA("Suma de TOTAL hotelero",'[1]tabla dinámica IO men'!$A$2,"MES","10","AÑO",2009)</f>
        <v>59.792082639993346</v>
      </c>
      <c r="K21" s="342">
        <f>GETPIVOTDATA("Suma de extrahoteleros",'[1]tabla dinámica IO men'!$A$2,"MES","10","AÑO",2009)</f>
        <v>42.847789633989905</v>
      </c>
      <c r="L21" s="342">
        <f>GETPIVOTDATA("Suma de TOTAL general",'[1]tabla dinámica IO men'!$A$2,"MES","10","AÑO",2009)</f>
        <v>51.010781288890179</v>
      </c>
    </row>
    <row r="22" spans="2:12" hidden="1" outlineLevel="1">
      <c r="C22" s="51" t="s">
        <v>40</v>
      </c>
      <c r="D22" s="342">
        <f>GETPIVOTDATA("dato",'[1]tabla dinámica IO men'!$A$96,"categoría","Hoteleros","mes",9,"año",2009)</f>
        <v>65.87</v>
      </c>
      <c r="E22" s="342">
        <f>GETPIVOTDATA("dato",'[1]tabla dinámica IO men'!$A$96,"categoría","extrahoteleros","mes",9,"año",2009)</f>
        <v>42.19</v>
      </c>
      <c r="F22" s="342">
        <f>GETPIVOTDATA("dato",'[1]tabla dinámica IO men'!$A$96,"categoría","total","mes",9,"año",2009)</f>
        <v>54.44</v>
      </c>
      <c r="G22" s="342">
        <f>GETPIVOTDATA("Suma de hotel Z4",'[1]tabla dinámica IO men'!$A$2,"MES","9","AÑO",2009)</f>
        <v>63.349794364517557</v>
      </c>
      <c r="H22" s="342">
        <f>GETPIVOTDATA("Suma de extra-h Z4",'[1]tabla dinámica IO men'!$A$2,"MES","9","AÑO",2009)</f>
        <v>41.947183201000492</v>
      </c>
      <c r="I22" s="342">
        <f>GETPIVOTDATA("Suma de TOTAL Z4",'[1]tabla dinámica IO men'!$A$2,"MES","9","AÑO",2009)</f>
        <v>51.559503046449777</v>
      </c>
      <c r="J22" s="342">
        <f>GETPIVOTDATA("Suma de TOTAL hotelero",'[1]tabla dinámica IO men'!$A$2,"MES","9","AÑO",2009)</f>
        <v>59.465218680842327</v>
      </c>
      <c r="K22" s="342">
        <f>GETPIVOTDATA("Suma de extrahoteleros",'[1]tabla dinámica IO men'!$A$2,"MES","9","AÑO",2009)</f>
        <v>40.776017475769336</v>
      </c>
      <c r="L22" s="342">
        <f>GETPIVOTDATA("Suma de TOTAL general",'[1]tabla dinámica IO men'!$A$2,"MES","9","AÑO",2009)</f>
        <v>49.779626739355038</v>
      </c>
    </row>
    <row r="23" spans="2:12" hidden="1" outlineLevel="1">
      <c r="C23" s="51" t="s">
        <v>41</v>
      </c>
      <c r="D23" s="342">
        <f>GETPIVOTDATA("dato",'[1]tabla dinámica IO men'!$A$96,"categoría","Hoteleros","mes",8,"año",2009)</f>
        <v>80.17</v>
      </c>
      <c r="E23" s="342">
        <f>GETPIVOTDATA("dato",'[1]tabla dinámica IO men'!$A$96,"categoría","extrahoteleros","mes",8,"año",2009)</f>
        <v>58.23</v>
      </c>
      <c r="F23" s="342">
        <f>GETPIVOTDATA("dato",'[1]tabla dinámica IO men'!$A$96,"categoría","total","mes",8,"año",2009)</f>
        <v>69.58</v>
      </c>
      <c r="G23" s="342">
        <f>GETPIVOTDATA("Suma de hotel Z4",'[1]tabla dinámica IO men'!$A$2,"MES","8","AÑO",2009)</f>
        <v>74.874791442368064</v>
      </c>
      <c r="H23" s="342">
        <f>GETPIVOTDATA("Suma de extra-h Z4",'[1]tabla dinámica IO men'!$A$2,"MES","8","AÑO",2009)</f>
        <v>56.483196671380441</v>
      </c>
      <c r="I23" s="342">
        <f>GETPIVOTDATA("Suma de TOTAL Z4",'[1]tabla dinámica IO men'!$A$2,"MES","8","AÑO",2009)</f>
        <v>64.743211772153529</v>
      </c>
      <c r="J23" s="342">
        <f>GETPIVOTDATA("Suma de TOTAL hotelero",'[1]tabla dinámica IO men'!$A$2,"MES","8","AÑO",2009)</f>
        <v>71.881037209634371</v>
      </c>
      <c r="K23" s="342">
        <f>GETPIVOTDATA("Suma de extrahoteleros",'[1]tabla dinámica IO men'!$A$2,"MES","8","AÑO",2009)</f>
        <v>55.295957189017301</v>
      </c>
      <c r="L23" s="342">
        <f>GETPIVOTDATA("Suma de TOTAL general",'[1]tabla dinámica IO men'!$A$2,"MES","8","AÑO",2009)</f>
        <v>63.285896324051336</v>
      </c>
    </row>
    <row r="24" spans="2:12" hidden="1" outlineLevel="1">
      <c r="C24" s="51" t="s">
        <v>42</v>
      </c>
      <c r="D24" s="342">
        <f>GETPIVOTDATA("dato",'[1]tabla dinámica IO men'!$A$96,"categoría","Hoteleros","mes",7,"año",2009)</f>
        <v>75.27</v>
      </c>
      <c r="E24" s="342">
        <f>GETPIVOTDATA("dato",'[1]tabla dinámica IO men'!$A$96,"categoría","extrahoteleros","mes",7,"año",2009)</f>
        <v>46.19</v>
      </c>
      <c r="F24" s="342">
        <f>GETPIVOTDATA("dato",'[1]tabla dinámica IO men'!$A$96,"categoría","total","mes",7,"año",2009)</f>
        <v>61.24</v>
      </c>
      <c r="G24" s="342">
        <f>GETPIVOTDATA("Suma de hotel Z4",'[1]tabla dinámica IO men'!$A$2,"MES","7","AÑO",2009)</f>
        <v>71.073629783139523</v>
      </c>
      <c r="H24" s="342">
        <f>GETPIVOTDATA("Suma de extra-h Z4",'[1]tabla dinámica IO men'!$A$2,"MES","7","AÑO",2009)</f>
        <v>48.514638101483811</v>
      </c>
      <c r="I24" s="342">
        <f>GETPIVOTDATA("Suma de TOTAL Z4",'[1]tabla dinámica IO men'!$A$2,"MES","7","AÑO",2009)</f>
        <v>58.646310437078903</v>
      </c>
      <c r="J24" s="342">
        <f>GETPIVOTDATA("Suma de TOTAL hotelero",'[1]tabla dinámica IO men'!$A$2,"MES","7","AÑO",2009)</f>
        <v>66.009695597680533</v>
      </c>
      <c r="K24" s="342">
        <f>GETPIVOTDATA("Suma de extrahoteleros",'[1]tabla dinámica IO men'!$A$2,"MES","7","AÑO",2009)</f>
        <v>47.387391640173199</v>
      </c>
      <c r="L24" s="342">
        <f>GETPIVOTDATA("Suma de TOTAL general",'[1]tabla dinámica IO men'!$A$2,"MES","7","AÑO",2009)</f>
        <v>56.358772844823612</v>
      </c>
    </row>
    <row r="25" spans="2:12" hidden="1" outlineLevel="1">
      <c r="C25" s="51" t="s">
        <v>43</v>
      </c>
      <c r="D25" s="342">
        <f>GETPIVOTDATA("dato",'[1]tabla dinámica IO men'!$A$96,"categoría","Hoteleros","mes",6,"año",2009)</f>
        <v>60.421657788111567</v>
      </c>
      <c r="E25" s="342">
        <f>GETPIVOTDATA("dato",'[1]tabla dinámica IO men'!$A$96,"categoría","extrahoteleros","mes",6,"año",2009)</f>
        <v>37.339780173324876</v>
      </c>
      <c r="F25" s="342">
        <f>GETPIVOTDATA("dato",'[1]tabla dinámica IO men'!$A$96,"categoría","total","mes",6,"año",2009)</f>
        <v>49.310000966670231</v>
      </c>
      <c r="G25" s="342">
        <f>GETPIVOTDATA("Suma de hotel Z4",'[1]tabla dinámica IO men'!$A$2,"MES","6","AÑO",2009)</f>
        <v>59.256861912846631</v>
      </c>
      <c r="H25" s="342">
        <f>GETPIVOTDATA("Suma de extra-h Z4",'[1]tabla dinámica IO men'!$A$2,"MES","6","AÑO",2009)</f>
        <v>37.065808402213932</v>
      </c>
      <c r="I25" s="342">
        <f>GETPIVOTDATA("Suma de TOTAL Z4",'[1]tabla dinámica IO men'!$A$2,"MES","6","AÑO",2009)</f>
        <v>46.957421697276018</v>
      </c>
      <c r="J25" s="342">
        <f>GETPIVOTDATA("Suma de TOTAL hotelero",'[1]tabla dinámica IO men'!$A$2,"MES","6","AÑO",2009)</f>
        <v>56.315644033599447</v>
      </c>
      <c r="K25" s="342">
        <f>GETPIVOTDATA("Suma de extrahoteleros",'[1]tabla dinámica IO men'!$A$2,"MES","6","AÑO",2009)</f>
        <v>37.112221249420614</v>
      </c>
      <c r="L25" s="342">
        <f>GETPIVOTDATA("Suma de TOTAL general",'[1]tabla dinámica IO men'!$A$2,"MES","6","AÑO",2009)</f>
        <v>46.245728503887108</v>
      </c>
    </row>
    <row r="26" spans="2:12" hidden="1" outlineLevel="1">
      <c r="C26" s="51" t="s">
        <v>44</v>
      </c>
      <c r="D26" s="342">
        <f>GETPIVOTDATA("dato",'[1]tabla dinámica IO men'!$A$96,"categoría","Hoteleros","mes",5,"año",2009)</f>
        <v>55.52</v>
      </c>
      <c r="E26" s="342">
        <f>GETPIVOTDATA("dato",'[1]tabla dinámica IO men'!$A$96,"categoría","extrahoteleros","mes",5,"año",2009)</f>
        <v>32.450000000000003</v>
      </c>
      <c r="F26" s="342">
        <f>GETPIVOTDATA("dato",'[1]tabla dinámica IO men'!$A$96,"categoría","total","mes",5,"año",2009)</f>
        <v>44.41</v>
      </c>
      <c r="G26" s="342">
        <f>GETPIVOTDATA("Suma de hotel Z4",'[1]tabla dinámica IO men'!$A$2,"MES","5","AÑO",2009)</f>
        <v>54.020473269542222</v>
      </c>
      <c r="H26" s="342">
        <f>GETPIVOTDATA("Suma de extra-h Z4",'[1]tabla dinámica IO men'!$A$2,"MES","5","AÑO",2009)</f>
        <v>33.232696477828036</v>
      </c>
      <c r="I26" s="342">
        <f>GETPIVOTDATA("Suma de TOTAL Z4",'[1]tabla dinámica IO men'!$A$2,"MES","5","AÑO",2009)</f>
        <v>42.498802261817936</v>
      </c>
      <c r="J26" s="342">
        <f>GETPIVOTDATA("Suma de TOTAL hotelero",'[1]tabla dinámica IO men'!$A$2,"MES","5","AÑO",2009)</f>
        <v>52.015428423011926</v>
      </c>
      <c r="K26" s="342">
        <f>GETPIVOTDATA("Suma de extrahoteleros",'[1]tabla dinámica IO men'!$A$2,"MES","5","AÑO",2009)</f>
        <v>33.333211502391485</v>
      </c>
      <c r="L26" s="342">
        <f>GETPIVOTDATA("Suma de TOTAL general",'[1]tabla dinámica IO men'!$A$2,"MES","5","AÑO",2009)</f>
        <v>42.218823494154968</v>
      </c>
    </row>
    <row r="27" spans="2:12" hidden="1" outlineLevel="1">
      <c r="C27" s="51" t="s">
        <v>45</v>
      </c>
      <c r="D27" s="342">
        <f>GETPIVOTDATA("dato",'[1]tabla dinámica IO men'!$A$96,"categoría","Hoteleros","mes",4,"año",2009)</f>
        <v>66.954312230822808</v>
      </c>
      <c r="E27" s="342">
        <f>GETPIVOTDATA("dato",'[1]tabla dinámica IO men'!$A$96,"categoría","extrahoteleros","mes",4,"año",2009)</f>
        <v>44.254597336715285</v>
      </c>
      <c r="F27" s="342">
        <f>GETPIVOTDATA("dato",'[1]tabla dinámica IO men'!$A$96,"categoría","total","mes",4,"año",2009)</f>
        <v>56.026629220914671</v>
      </c>
      <c r="G27" s="342">
        <f>GETPIVOTDATA("Suma de hotel Z4",'[1]tabla dinámica IO men'!$A$2,"MES","4","AÑO",2009)</f>
        <v>64.331696175923682</v>
      </c>
      <c r="H27" s="342">
        <f>GETPIVOTDATA("Suma de extra-h Z4",'[1]tabla dinámica IO men'!$A$2,"MES","4","AÑO",2009)</f>
        <v>44.333016360666129</v>
      </c>
      <c r="I27" s="342">
        <f>GETPIVOTDATA("Suma de TOTAL Z4",'[1]tabla dinámica IO men'!$A$2,"MES","4","AÑO",2009)</f>
        <v>53.247383902951022</v>
      </c>
      <c r="J27" s="342">
        <f>GETPIVOTDATA("Suma de TOTAL hotelero",'[1]tabla dinámica IO men'!$A$2,"MES","4","AÑO",2009)</f>
        <v>62.405335937707015</v>
      </c>
      <c r="K27" s="342">
        <f>GETPIVOTDATA("Suma de extrahoteleros",'[1]tabla dinámica IO men'!$A$2,"MES","4","AÑO",2009)</f>
        <v>43.600109869358469</v>
      </c>
      <c r="L27" s="342">
        <f>GETPIVOTDATA("Suma de TOTAL general",'[1]tabla dinámica IO men'!$A$2,"MES","4","AÑO",2009)</f>
        <v>52.544227313809579</v>
      </c>
    </row>
    <row r="28" spans="2:12" hidden="1" outlineLevel="1">
      <c r="C28" s="51" t="s">
        <v>46</v>
      </c>
      <c r="D28" s="342">
        <f>GETPIVOTDATA("dato",'[1]tabla dinámica IO men'!$A$96,"categoría","Hoteleros","mes",3,"año",2009)</f>
        <v>65.680000000000007</v>
      </c>
      <c r="E28" s="342">
        <f>GETPIVOTDATA("dato",'[1]tabla dinámica IO men'!$A$96,"categoría","extrahoteleros","mes",3,"año",2009)</f>
        <v>47.69</v>
      </c>
      <c r="F28" s="342">
        <f>GETPIVOTDATA("dato",'[1]tabla dinámica IO men'!$A$96,"categoría","total","mes",3,"año",2009)</f>
        <v>57.02</v>
      </c>
      <c r="G28" s="342">
        <f>GETPIVOTDATA("Suma de hotel Z4",'[1]tabla dinámica IO men'!$A$2,"MES","3","AÑO",2009)</f>
        <v>63.764102634317325</v>
      </c>
      <c r="H28" s="342">
        <f>GETPIVOTDATA("Suma de extra-h Z4",'[1]tabla dinámica IO men'!$A$2,"MES","3","AÑO",2009)</f>
        <v>51.556115566818704</v>
      </c>
      <c r="I28" s="342">
        <f>GETPIVOTDATA("Suma de TOTAL Z4",'[1]tabla dinámica IO men'!$A$2,"MES","3","AÑO",2009)</f>
        <v>56.997798951744777</v>
      </c>
      <c r="J28" s="342">
        <f>GETPIVOTDATA("Suma de TOTAL hotelero",'[1]tabla dinámica IO men'!$A$2,"MES","3","AÑO",2009)</f>
        <v>63.29869911974172</v>
      </c>
      <c r="K28" s="342">
        <f>GETPIVOTDATA("Suma de extrahoteleros",'[1]tabla dinámica IO men'!$A$2,"MES","3","AÑO",2009)</f>
        <v>51.752587938404488</v>
      </c>
      <c r="L28" s="342">
        <f>GETPIVOTDATA("Suma de TOTAL general",'[1]tabla dinámica IO men'!$A$2,"MES","3","AÑO",2009)</f>
        <v>57.244134493454197</v>
      </c>
    </row>
    <row r="29" spans="2:12" hidden="1" outlineLevel="1">
      <c r="C29" s="51" t="s">
        <v>47</v>
      </c>
      <c r="D29" s="342">
        <f>GETPIVOTDATA("dato",'[1]tabla dinámica IO men'!$A$96,"categoría","Hoteleros","mes",2,"año",2009)</f>
        <v>68.61</v>
      </c>
      <c r="E29" s="342">
        <f>GETPIVOTDATA("dato",'[1]tabla dinámica IO men'!$A$96,"categoría","extrahoteleros","mes",2,"año",2009)</f>
        <v>51.66</v>
      </c>
      <c r="F29" s="342">
        <f>GETPIVOTDATA("dato",'[1]tabla dinámica IO men'!$A$96,"categoría","total","mes",2,"año",2009)</f>
        <v>60.45</v>
      </c>
      <c r="G29" s="342">
        <f>GETPIVOTDATA("Suma de hotel Z4",'[1]tabla dinámica IO men'!$A$2,"MES","2","AÑO",2009)</f>
        <v>67.687255292609407</v>
      </c>
      <c r="H29" s="342">
        <f>GETPIVOTDATA("Suma de extra-h Z4",'[1]tabla dinámica IO men'!$A$2,"MES","2","AÑO",2009)</f>
        <v>54.108845279023029</v>
      </c>
      <c r="I29" s="342">
        <f>GETPIVOTDATA("Suma de TOTAL Z4",'[1]tabla dinámica IO men'!$A$2,"MES","2","AÑO",2009)</f>
        <v>60.161391678040999</v>
      </c>
      <c r="J29" s="342">
        <f>GETPIVOTDATA("Suma de TOTAL hotelero",'[1]tabla dinámica IO men'!$A$2,"MES","2","AÑO",2009)</f>
        <v>67.106938849673668</v>
      </c>
      <c r="K29" s="342">
        <f>GETPIVOTDATA("Suma de extrahoteleros",'[1]tabla dinámica IO men'!$A$2,"MES","2","AÑO",2009)</f>
        <v>54.896556037051482</v>
      </c>
      <c r="L29" s="342">
        <f>GETPIVOTDATA("Suma de TOTAL general",'[1]tabla dinámica IO men'!$A$2,"MES","2","AÑO",2009)</f>
        <v>60.704042611308388</v>
      </c>
    </row>
    <row r="30" spans="2:12" hidden="1" outlineLevel="1">
      <c r="C30" s="51" t="s">
        <v>48</v>
      </c>
      <c r="D30" s="342">
        <f>GETPIVOTDATA("dato",'[1]tabla dinámica IO men'!$A$96,"categoría","Hoteleros","mes",1,"año",2009)</f>
        <v>71.239999999999995</v>
      </c>
      <c r="E30" s="342">
        <f>GETPIVOTDATA("dato",'[1]tabla dinámica IO men'!$A$96,"categoría","extrahoteleros","mes",1,"año",2009)</f>
        <v>50.38</v>
      </c>
      <c r="F30" s="342">
        <f>GETPIVOTDATA("dato",'[1]tabla dinámica IO men'!$A$96,"categoría","total","mes",1,"año",2009)</f>
        <v>61.2</v>
      </c>
      <c r="G30" s="342">
        <f>GETPIVOTDATA("Suma de hotel Z4",'[1]tabla dinámica IO men'!$A$2,"MES","1","AÑO",2009)</f>
        <v>68.153327517545165</v>
      </c>
      <c r="H30" s="342">
        <f>GETPIVOTDATA("Suma de extra-h Z4",'[1]tabla dinámica IO men'!$A$2,"MES","1","AÑO",2009)</f>
        <v>51.708270312402909</v>
      </c>
      <c r="I30" s="342">
        <f>GETPIVOTDATA("Suma de TOTAL Z4",'[1]tabla dinámica IO men'!$A$2,"MES","1","AÑO",2009)</f>
        <v>59.038618392114415</v>
      </c>
      <c r="J30" s="342">
        <f>GETPIVOTDATA("Suma de TOTAL hotelero",'[1]tabla dinámica IO men'!$A$2,"MES","1","AÑO",2009)</f>
        <v>67.133092311541603</v>
      </c>
      <c r="K30" s="342">
        <f>GETPIVOTDATA("Suma de extrahoteleros",'[1]tabla dinámica IO men'!$A$2,"MES","1","AÑO",2009)</f>
        <v>52.762610748479467</v>
      </c>
      <c r="L30" s="342">
        <f>GETPIVOTDATA("Suma de TOTAL general",'[1]tabla dinámica IO men'!$A$2,"MES","1","AÑO",2009)</f>
        <v>59.597480713147469</v>
      </c>
    </row>
    <row r="31" spans="2:12" collapsed="1">
      <c r="B31" s="344"/>
      <c r="C31" s="56">
        <v>2009</v>
      </c>
      <c r="D31" s="345">
        <f>'[1]tabla dinámica IO men'!E509</f>
        <v>67.751143411049412</v>
      </c>
      <c r="E31" s="345">
        <f>'[1]tabla dinámica IO men'!E508</f>
        <v>45.169416532707785</v>
      </c>
      <c r="F31" s="345">
        <f>'[1]tabla dinámica IO men'!E510</f>
        <v>56.867000801089773</v>
      </c>
      <c r="G31" s="345">
        <f>GETPIVOTDATA("Suma de hotel Z4",'[1]tabla dinámica IO men'!$A$201,"MES","12","AÑO",2009)</f>
        <v>64.890034225514682</v>
      </c>
      <c r="H31" s="345">
        <f>GETPIVOTDATA("Suma de extra-h Z4",'[1]tabla dinámica IO men'!$A$201,"MES","12","AÑO",2009)</f>
        <v>46.37181571735173</v>
      </c>
      <c r="I31" s="345">
        <f>GETPIVOTDATA("Suma de TOTAL Z4",'[1]tabla dinámica IO men'!$A$201,"MES","12","AÑO",2009)</f>
        <v>54.657491092885373</v>
      </c>
      <c r="J31" s="345">
        <f>GETPIVOTDATA("Suma de TOTAL hotelero",'[1]tabla dinámica IO men'!$A$201,"MES","12","AÑO",2009)</f>
        <v>62.449494630571635</v>
      </c>
      <c r="K31" s="345">
        <f>GETPIVOTDATA("Suma de extrahoteleros",'[1]tabla dinámica IO men'!$A$201,"MES","12","AÑO",2009)</f>
        <v>46.095366123073184</v>
      </c>
      <c r="L31" s="345">
        <f>GETPIVOTDATA("Suma de TOTAL general",'[1]tabla dinámica IO men'!$A$201,"MES","12","AÑO",2009)</f>
        <v>53.92384753313668</v>
      </c>
    </row>
    <row r="32" spans="2:12" hidden="1" outlineLevel="1">
      <c r="C32" s="51" t="s">
        <v>37</v>
      </c>
      <c r="D32" s="342">
        <f>GETPIVOTDATA("dato",'[1]tabla dinámica IO men'!$A$96,"categoría","Hoteleros","mes",12,"año",2008)</f>
        <v>69.77</v>
      </c>
      <c r="E32" s="342">
        <f>GETPIVOTDATA("dato",'[1]tabla dinámica IO men'!$A$96,"categoría","extrahoteleros","mes",12,"año",2008)</f>
        <v>48.71</v>
      </c>
      <c r="F32" s="342">
        <f>GETPIVOTDATA("dato",'[1]tabla dinámica IO men'!$A$96,"categoría","total","mes",12,"año",2008)</f>
        <v>59.57</v>
      </c>
      <c r="G32" s="342">
        <f>GETPIVOTDATA("Suma de hotel Z4",'[1]tabla dinámica IO men'!$A$2,"MES","12","AÑO",2008)</f>
        <v>66.194967704636682</v>
      </c>
      <c r="H32" s="342">
        <f>GETPIVOTDATA("Suma de extra-h Z4",'[1]tabla dinámica IO men'!$A$2,"MES","12","AÑO",2008)</f>
        <v>51.040377127422055</v>
      </c>
      <c r="I32" s="342">
        <f>GETPIVOTDATA("Suma de TOTAL Z4",'[1]tabla dinámica IO men'!$A$2,"MES","12","AÑO",2008)</f>
        <v>57.760448936537401</v>
      </c>
      <c r="J32" s="342">
        <f>GETPIVOTDATA("Suma de TOTAL hotelero",'[1]tabla dinámica IO men'!$A$2,"MES","12","AÑO",2008)</f>
        <v>64.640384835079971</v>
      </c>
      <c r="K32" s="342">
        <f>GETPIVOTDATA("Suma de extrahoteleros",'[1]tabla dinámica IO men'!$A$2,"MES","12","AÑO",2008)</f>
        <v>51.882166558604432</v>
      </c>
      <c r="L32" s="342">
        <f>GETPIVOTDATA("Suma de TOTAL general",'[1]tabla dinámica IO men'!$A$2,"MES","12","AÑO",2008)</f>
        <v>57.974963148093735</v>
      </c>
    </row>
    <row r="33" spans="3:12" hidden="1" outlineLevel="1">
      <c r="C33" s="51" t="s">
        <v>38</v>
      </c>
      <c r="D33" s="342">
        <f>GETPIVOTDATA("dato",'[1]tabla dinámica IO men'!$A$96,"categoría","Hoteleros","mes",11,"año",2008)</f>
        <v>75.819999999999993</v>
      </c>
      <c r="E33" s="342">
        <f>GETPIVOTDATA("dato",'[1]tabla dinámica IO men'!$A$96,"categoría","extrahoteleros","mes",11,"año",2008)</f>
        <v>49.37</v>
      </c>
      <c r="F33" s="342">
        <f>GETPIVOTDATA("dato",'[1]tabla dinámica IO men'!$A$96,"categoría","total","mes",11,"año",2008)</f>
        <v>63.01</v>
      </c>
      <c r="G33" s="342">
        <f>GETPIVOTDATA("Suma de hotel Z4",'[1]tabla dinámica IO men'!$A$2,"MES","11","AÑO",2008)</f>
        <v>69.997007916343364</v>
      </c>
      <c r="H33" s="342">
        <f>GETPIVOTDATA("Suma de extra-h Z4",'[1]tabla dinámica IO men'!$A$2,"MES","11","AÑO",2008)</f>
        <v>53.794112180497308</v>
      </c>
      <c r="I33" s="342">
        <f>GETPIVOTDATA("Suma de TOTAL Z4",'[1]tabla dinámica IO men'!$A$2,"MES","11","AÑO",2008)</f>
        <v>60.979038906541994</v>
      </c>
      <c r="J33" s="342">
        <f>GETPIVOTDATA("Suma de TOTAL hotelero",'[1]tabla dinámica IO men'!$A$2,"MES","11","AÑO",2008)</f>
        <v>67.688468492700352</v>
      </c>
      <c r="K33" s="342">
        <f>GETPIVOTDATA("Suma de extrahoteleros",'[1]tabla dinámica IO men'!$A$2,"MES","11","AÑO",2008)</f>
        <v>54.298905211684115</v>
      </c>
      <c r="L33" s="342">
        <f>GETPIVOTDATA("Suma de TOTAL general",'[1]tabla dinámica IO men'!$A$2,"MES","11","AÑO",2008)</f>
        <v>60.693206024341421</v>
      </c>
    </row>
    <row r="34" spans="3:12" hidden="1" outlineLevel="1">
      <c r="C34" s="51" t="s">
        <v>39</v>
      </c>
      <c r="D34" s="342">
        <f>GETPIVOTDATA("dato",'[1]tabla dinámica IO men'!$A$96,"categoría","Hoteleros","mes",10,"año",2008)</f>
        <v>76.39</v>
      </c>
      <c r="E34" s="342">
        <f>GETPIVOTDATA("dato",'[1]tabla dinámica IO men'!$A$96,"categoría","extrahoteleros","mes",10,"año",2008)</f>
        <v>47.63</v>
      </c>
      <c r="F34" s="342">
        <f>GETPIVOTDATA("dato",'[1]tabla dinámica IO men'!$A$96,"categoría","total","mes",10,"año",2008)</f>
        <v>62.45</v>
      </c>
      <c r="G34" s="342">
        <f>GETPIVOTDATA("Suma de hotel Z4",'[1]tabla dinámica IO men'!$A$2,"MES","10","AÑO",2008)</f>
        <v>70.812412059487656</v>
      </c>
      <c r="H34" s="342">
        <f>GETPIVOTDATA("Suma de extra-h Z4",'[1]tabla dinámica IO men'!$A$2,"MES","10","AÑO",2008)</f>
        <v>48.813500073120053</v>
      </c>
      <c r="I34" s="342">
        <f>GETPIVOTDATA("Suma de TOTAL Z4",'[1]tabla dinámica IO men'!$A$2,"MES","10","AÑO",2008)</f>
        <v>58.568581711093948</v>
      </c>
      <c r="J34" s="342">
        <f>GETPIVOTDATA("Suma de TOTAL hotelero",'[1]tabla dinámica IO men'!$A$2,"MES","10","AÑO",2008)</f>
        <v>66.209471350668167</v>
      </c>
      <c r="K34" s="342">
        <f>GETPIVOTDATA("Suma de extrahoteleros",'[1]tabla dinámica IO men'!$A$2,"MES","10","AÑO",2008)</f>
        <v>48.242286768754084</v>
      </c>
      <c r="L34" s="342">
        <f>GETPIVOTDATA("Suma de TOTAL general",'[1]tabla dinámica IO men'!$A$2,"MES","10","AÑO",2008)</f>
        <v>56.822669904639113</v>
      </c>
    </row>
    <row r="35" spans="3:12" hidden="1" outlineLevel="1">
      <c r="C35" s="51" t="s">
        <v>40</v>
      </c>
      <c r="D35" s="342">
        <f>GETPIVOTDATA("dato",'[1]tabla dinámica IO men'!$A$96,"categoría","Hoteleros","mes",9,"año",2008)</f>
        <v>74.09</v>
      </c>
      <c r="E35" s="342">
        <f>GETPIVOTDATA("dato",'[1]tabla dinámica IO men'!$A$96,"categoría","extrahoteleros","mes",9,"año",2008)</f>
        <v>44.62</v>
      </c>
      <c r="F35" s="342">
        <f>GETPIVOTDATA("dato",'[1]tabla dinámica IO men'!$A$96,"categoría","total","mes",9,"año",2008)</f>
        <v>59.81</v>
      </c>
      <c r="G35" s="342">
        <f>GETPIVOTDATA("Suma de hotel Z4",'[1]tabla dinámica IO men'!$A$2,"MES","9","AÑO",2008)</f>
        <v>69.591098804687931</v>
      </c>
      <c r="H35" s="342">
        <f>GETPIVOTDATA("Suma de extra-h Z4",'[1]tabla dinámica IO men'!$A$2,"MES","9","AÑO",2008)</f>
        <v>44.509281033075553</v>
      </c>
      <c r="I35" s="342">
        <f>GETPIVOTDATA("Suma de TOTAL Z4",'[1]tabla dinámica IO men'!$A$2,"MES","9","AÑO",2008)</f>
        <v>55.631430171291328</v>
      </c>
      <c r="J35" s="342">
        <f>GETPIVOTDATA("Suma de TOTAL hotelero",'[1]tabla dinámica IO men'!$A$2,"MES","9","AÑO",2008)</f>
        <v>66.464301190956505</v>
      </c>
      <c r="K35" s="342">
        <f>GETPIVOTDATA("Suma de extrahoteleros",'[1]tabla dinámica IO men'!$A$2,"MES","9","AÑO",2008)</f>
        <v>44.672075726842458</v>
      </c>
      <c r="L35" s="342">
        <f>GETPIVOTDATA("Suma de TOTAL general",'[1]tabla dinámica IO men'!$A$2,"MES","9","AÑO",2008)</f>
        <v>55.079139950689175</v>
      </c>
    </row>
    <row r="36" spans="3:12" hidden="1" outlineLevel="1">
      <c r="C36" s="51" t="s">
        <v>41</v>
      </c>
      <c r="D36" s="342">
        <f>GETPIVOTDATA("dato",'[1]tabla dinámica IO men'!$A$96,"categoría","Hoteleros","mes",8,"año",2008)</f>
        <v>89.9</v>
      </c>
      <c r="E36" s="342">
        <f>GETPIVOTDATA("dato",'[1]tabla dinámica IO men'!$A$96,"categoría","extrahoteleros","mes",8,"año",2008)</f>
        <v>64.55</v>
      </c>
      <c r="F36" s="342">
        <f>GETPIVOTDATA("dato",'[1]tabla dinámica IO men'!$A$96,"categoría","total","mes",8,"año",2008)</f>
        <v>77.61</v>
      </c>
      <c r="G36" s="342">
        <f>GETPIVOTDATA("Suma de hotel Z4",'[1]tabla dinámica IO men'!$A$2,"MES","8","AÑO",2008)</f>
        <v>83.184915186943059</v>
      </c>
      <c r="H36" s="342">
        <f>GETPIVOTDATA("Suma de extra-h Z4",'[1]tabla dinámica IO men'!$A$2,"MES","8","AÑO",2008)</f>
        <v>62.041073918507507</v>
      </c>
      <c r="I36" s="342">
        <f>GETPIVOTDATA("Suma de TOTAL Z4",'[1]tabla dinámica IO men'!$A$2,"MES","8","AÑO",2008)</f>
        <v>71.416987501950473</v>
      </c>
      <c r="J36" s="342">
        <f>GETPIVOTDATA("Suma de TOTAL hotelero",'[1]tabla dinámica IO men'!$A$2,"MES","8","AÑO",2008)</f>
        <v>80.961169428951138</v>
      </c>
      <c r="K36" s="342">
        <f>GETPIVOTDATA("Suma de extrahoteleros",'[1]tabla dinámica IO men'!$A$2,"MES","8","AÑO",2008)</f>
        <v>63.355104403982239</v>
      </c>
      <c r="L36" s="342">
        <f>GETPIVOTDATA("Suma de TOTAL general",'[1]tabla dinámica IO men'!$A$2,"MES","8","AÑO",2008)</f>
        <v>71.763031797437264</v>
      </c>
    </row>
    <row r="37" spans="3:12" hidden="1" outlineLevel="1">
      <c r="C37" s="51" t="s">
        <v>42</v>
      </c>
      <c r="D37" s="342">
        <f>GETPIVOTDATA("dato",'[1]tabla dinámica IO men'!$A$96,"categoría","Hoteleros","mes",7,"año",2008)</f>
        <v>88.22</v>
      </c>
      <c r="E37" s="342">
        <f>GETPIVOTDATA("dato",'[1]tabla dinámica IO men'!$A$96,"categoría","extrahoteleros","mes",7,"año",2008)</f>
        <v>55.91</v>
      </c>
      <c r="F37" s="342">
        <f>GETPIVOTDATA("dato",'[1]tabla dinámica IO men'!$A$96,"categoría","total","mes",7,"año",2008)</f>
        <v>72.56</v>
      </c>
      <c r="G37" s="342">
        <f>GETPIVOTDATA("Suma de hotel Z4",'[1]tabla dinámica IO men'!$A$2,"MES","7","AÑO",2008)</f>
        <v>81.270161597056145</v>
      </c>
      <c r="H37" s="342">
        <f>GETPIVOTDATA("Suma de extra-h Z4",'[1]tabla dinámica IO men'!$A$2,"MES","7","AÑO",2008)</f>
        <v>55.989979033704827</v>
      </c>
      <c r="I37" s="342">
        <f>GETPIVOTDATA("Suma de TOTAL Z4",'[1]tabla dinámica IO men'!$A$2,"MES","7","AÑO",2008)</f>
        <v>67.200090010156615</v>
      </c>
      <c r="J37" s="342">
        <f>GETPIVOTDATA("Suma de TOTAL hotelero",'[1]tabla dinámica IO men'!$A$2,"MES","7","AÑO",2008)</f>
        <v>76.313489039315016</v>
      </c>
      <c r="K37" s="342">
        <f>GETPIVOTDATA("Suma de extrahoteleros",'[1]tabla dinámica IO men'!$A$2,"MES","7","AÑO",2008)</f>
        <v>55.889358810905627</v>
      </c>
      <c r="L37" s="342">
        <f>GETPIVOTDATA("Suma de TOTAL general",'[1]tabla dinámica IO men'!$A$2,"MES","7","AÑO",2008)</f>
        <v>65.643077418180823</v>
      </c>
    </row>
    <row r="38" spans="3:12" hidden="1" outlineLevel="1">
      <c r="C38" s="51" t="s">
        <v>43</v>
      </c>
      <c r="D38" s="342">
        <f>GETPIVOTDATA("dato",'[1]tabla dinámica IO men'!$A$96,"categoría","Hoteleros","mes",6,"año",2008)</f>
        <v>73.180000000000007</v>
      </c>
      <c r="E38" s="342">
        <f>GETPIVOTDATA("dato",'[1]tabla dinámica IO men'!$A$96,"categoría","extrahoteleros","mes",6,"año",2008)</f>
        <v>45.76</v>
      </c>
      <c r="F38" s="342">
        <f>GETPIVOTDATA("dato",'[1]tabla dinámica IO men'!$A$96,"categoría","total","mes",6,"año",2008)</f>
        <v>59.98</v>
      </c>
      <c r="G38" s="342">
        <f>GETPIVOTDATA("Suma de hotel Z4",'[1]tabla dinámica IO men'!$A$2,"MES","6","AÑO",2008)</f>
        <v>69.946104825074784</v>
      </c>
      <c r="H38" s="342">
        <f>GETPIVOTDATA("Suma de extra-h Z4",'[1]tabla dinámica IO men'!$A$2,"MES","6","AÑO",2008)</f>
        <v>45.495971650718182</v>
      </c>
      <c r="I38" s="342">
        <f>GETPIVOTDATA("Suma de TOTAL Z4",'[1]tabla dinámica IO men'!$A$2,"MES","6","AÑO",2008)</f>
        <v>56.157318561467022</v>
      </c>
      <c r="J38" s="342">
        <f>GETPIVOTDATA("Suma de TOTAL hotelero",'[1]tabla dinámica IO men'!$A$2,"MES","6","AÑO",2008)</f>
        <v>66.501038748165513</v>
      </c>
      <c r="K38" s="342">
        <f>GETPIVOTDATA("Suma de extrahoteleros",'[1]tabla dinámica IO men'!$A$2,"MES","6","AÑO",2008)</f>
        <v>45.614492783161957</v>
      </c>
      <c r="L38" s="342">
        <f>GETPIVOTDATA("Suma de TOTAL general",'[1]tabla dinámica IO men'!$A$2,"MES","6","AÑO",2008)</f>
        <v>55.456624203364015</v>
      </c>
    </row>
    <row r="39" spans="3:12" hidden="1" outlineLevel="1">
      <c r="C39" s="51" t="s">
        <v>44</v>
      </c>
      <c r="D39" s="342">
        <f>GETPIVOTDATA("dato",'[1]tabla dinámica IO men'!$A$96,"categoría","Hoteleros","mes",5,"año",2008)</f>
        <v>70.489999999999995</v>
      </c>
      <c r="E39" s="342">
        <f>GETPIVOTDATA("dato",'[1]tabla dinámica IO men'!$A$96,"categoría","extrahoteleros","mes",5,"año",2008)</f>
        <v>42.96</v>
      </c>
      <c r="F39" s="342">
        <f>GETPIVOTDATA("dato",'[1]tabla dinámica IO men'!$A$96,"categoría","total","mes",5,"año",2008)</f>
        <v>57.23</v>
      </c>
      <c r="G39" s="342">
        <f>GETPIVOTDATA("Suma de hotel Z4",'[1]tabla dinámica IO men'!$A$2,"MES","5","AÑO",2008)</f>
        <v>66.185392622053286</v>
      </c>
      <c r="H39" s="342">
        <f>GETPIVOTDATA("Suma de extra-h Z4",'[1]tabla dinámica IO men'!$A$2,"MES","5","AÑO",2008)</f>
        <v>39.78639946033497</v>
      </c>
      <c r="I39" s="342">
        <f>GETPIVOTDATA("Suma de TOTAL Z4",'[1]tabla dinámica IO men'!$A$2,"MES","5","AÑO",2008)</f>
        <v>51.29753611486862</v>
      </c>
      <c r="J39" s="342">
        <f>GETPIVOTDATA("Suma de TOTAL hotelero",'[1]tabla dinámica IO men'!$A$2,"MES","5","AÑO",2008)</f>
        <v>63.590053840294082</v>
      </c>
      <c r="K39" s="342">
        <f>GETPIVOTDATA("Suma de extrahoteleros",'[1]tabla dinámica IO men'!$A$2,"MES","5","AÑO",2008)</f>
        <v>40.92888840235679</v>
      </c>
      <c r="L39" s="342">
        <f>GETPIVOTDATA("Suma de TOTAL general",'[1]tabla dinámica IO men'!$A$2,"MES","5","AÑO",2008)</f>
        <v>51.607253736137892</v>
      </c>
    </row>
    <row r="40" spans="3:12" hidden="1" outlineLevel="1">
      <c r="C40" s="51" t="s">
        <v>45</v>
      </c>
      <c r="D40" s="342">
        <f>GETPIVOTDATA("dato",'[1]tabla dinámica IO men'!$A$96,"categoría","Hoteleros","mes",4,"año",2008)</f>
        <v>80.37</v>
      </c>
      <c r="E40" s="342">
        <f>GETPIVOTDATA("dato",'[1]tabla dinámica IO men'!$A$96,"categoría","extrahoteleros","mes",4,"año",2008)</f>
        <v>48.32</v>
      </c>
      <c r="F40" s="342">
        <f>GETPIVOTDATA("dato",'[1]tabla dinámica IO men'!$A$96,"categoría","total","mes",4,"año",2008)</f>
        <v>64.94</v>
      </c>
      <c r="G40" s="342">
        <f>GETPIVOTDATA("Suma de hotel Z4",'[1]tabla dinámica IO men'!$A$2,"MES","4","AÑO",2008)</f>
        <v>74.288828196124328</v>
      </c>
      <c r="H40" s="342">
        <f>GETPIVOTDATA("Suma de extra-h Z4",'[1]tabla dinámica IO men'!$A$2,"MES","4","AÑO",2008)</f>
        <v>48.425906931656833</v>
      </c>
      <c r="I40" s="342">
        <f>GETPIVOTDATA("Suma de TOTAL Z4",'[1]tabla dinámica IO men'!$A$2,"MES","4","AÑO",2008)</f>
        <v>59.703292365903124</v>
      </c>
      <c r="J40" s="342">
        <f>GETPIVOTDATA("Suma de TOTAL hotelero",'[1]tabla dinámica IO men'!$A$2,"MES","4","AÑO",2008)</f>
        <v>73.334819982083971</v>
      </c>
      <c r="K40" s="342">
        <f>GETPIVOTDATA("Suma de extrahoteleros",'[1]tabla dinámica IO men'!$A$2,"MES","4","AÑO",2008)</f>
        <v>49.370068041076017</v>
      </c>
      <c r="L40" s="342">
        <f>GETPIVOTDATA("Suma de TOTAL general",'[1]tabla dinámica IO men'!$A$2,"MES","4","AÑO",2008)</f>
        <v>60.662707736080876</v>
      </c>
    </row>
    <row r="41" spans="3:12" hidden="1" outlineLevel="1">
      <c r="C41" s="51" t="s">
        <v>46</v>
      </c>
      <c r="D41" s="342">
        <f>GETPIVOTDATA("dato",'[1]tabla dinámica IO men'!$A$96,"categoría","Hoteleros","mes",3,"año",2008)</f>
        <v>84.01</v>
      </c>
      <c r="E41" s="342">
        <f>GETPIVOTDATA("dato",'[1]tabla dinámica IO men'!$A$96,"categoría","extrahoteleros","mes",3,"año",2008)</f>
        <v>59.2</v>
      </c>
      <c r="F41" s="342">
        <f>GETPIVOTDATA("dato",'[1]tabla dinámica IO men'!$A$96,"categoría","total","mes",3,"año",2008)</f>
        <v>72.06</v>
      </c>
      <c r="G41" s="342">
        <f>GETPIVOTDATA("Suma de hotel Z4",'[1]tabla dinámica IO men'!$A$2,"MES","3","AÑO",2008)</f>
        <v>80.23097932110808</v>
      </c>
      <c r="H41" s="342">
        <f>GETPIVOTDATA("Suma de extra-h Z4",'[1]tabla dinámica IO men'!$A$2,"MES","3","AÑO",2008)</f>
        <v>61.021618909451576</v>
      </c>
      <c r="I41" s="342">
        <f>GETPIVOTDATA("Suma de TOTAL Z4",'[1]tabla dinámica IO men'!$A$2,"MES","3","AÑO",2008)</f>
        <v>69.397755506411613</v>
      </c>
      <c r="J41" s="342">
        <f>GETPIVOTDATA("Suma de TOTAL hotelero",'[1]tabla dinámica IO men'!$A$2,"MES","3","AÑO",2008)</f>
        <v>77.684738240995728</v>
      </c>
      <c r="K41" s="342">
        <f>GETPIVOTDATA("Suma de extrahoteleros",'[1]tabla dinámica IO men'!$A$2,"MES","3","AÑO",2008)</f>
        <v>61.716597023541247</v>
      </c>
      <c r="L41" s="342">
        <f>GETPIVOTDATA("Suma de TOTAL general",'[1]tabla dinámica IO men'!$A$2,"MES","3","AÑO",2008)</f>
        <v>69.241084062320297</v>
      </c>
    </row>
    <row r="42" spans="3:12" hidden="1" outlineLevel="1">
      <c r="C42" s="51" t="s">
        <v>47</v>
      </c>
      <c r="D42" s="342">
        <f>GETPIVOTDATA("dato",'[1]tabla dinámica IO men'!$A$96,"categoría","Hoteleros","mes",2,"año",2008)</f>
        <v>81.91</v>
      </c>
      <c r="E42" s="342">
        <f>GETPIVOTDATA("dato",'[1]tabla dinámica IO men'!$A$96,"categoría","extrahoteleros","mes",2,"año",2008)</f>
        <v>59.72</v>
      </c>
      <c r="F42" s="342">
        <f>GETPIVOTDATA("dato",'[1]tabla dinámica IO men'!$A$96,"categoría","total","mes",2,"año",2008)</f>
        <v>71.23</v>
      </c>
      <c r="G42" s="342">
        <f>GETPIVOTDATA("Suma de hotel Z4",'[1]tabla dinámica IO men'!$A$2,"MES","2","AÑO",2008)</f>
        <v>78.66573385176315</v>
      </c>
      <c r="H42" s="342">
        <f>GETPIVOTDATA("Suma de extra-h Z4",'[1]tabla dinámica IO men'!$A$2,"MES","2","AÑO",2008)</f>
        <v>62.584806714548868</v>
      </c>
      <c r="I42" s="342">
        <f>GETPIVOTDATA("Suma de TOTAL Z4",'[1]tabla dinámica IO men'!$A$2,"MES","2","AÑO",2008)</f>
        <v>69.596807084188086</v>
      </c>
      <c r="J42" s="342">
        <f>GETPIVOTDATA("Suma de TOTAL hotelero",'[1]tabla dinámica IO men'!$A$2,"MES","2","AÑO",2008)</f>
        <v>76.804257257271075</v>
      </c>
      <c r="K42" s="342">
        <f>GETPIVOTDATA("Suma de extrahoteleros",'[1]tabla dinámica IO men'!$A$2,"MES","2","AÑO",2008)</f>
        <v>63.279114363757316</v>
      </c>
      <c r="L42" s="342">
        <f>GETPIVOTDATA("Suma de TOTAL general",'[1]tabla dinámica IO men'!$A$2,"MES","2","AÑO",2008)</f>
        <v>69.652414863419494</v>
      </c>
    </row>
    <row r="43" spans="3:12" hidden="1" outlineLevel="1">
      <c r="C43" s="51" t="s">
        <v>48</v>
      </c>
      <c r="D43" s="342">
        <f>GETPIVOTDATA("dato",'[1]tabla dinámica IO men'!$A$96,"categoría","Hoteleros","mes",1,"año",2008)</f>
        <v>81</v>
      </c>
      <c r="E43" s="342">
        <f>GETPIVOTDATA("dato",'[1]tabla dinámica IO men'!$A$96,"categoría","extrahoteleros","mes",1,"año",2008)</f>
        <v>56.51</v>
      </c>
      <c r="F43" s="342">
        <f>GETPIVOTDATA("dato",'[1]tabla dinámica IO men'!$A$96,"categoría","total","mes",1,"año",2008)</f>
        <v>69.2</v>
      </c>
      <c r="G43" s="342">
        <f>GETPIVOTDATA("Suma de hotel Z4",'[1]tabla dinámica IO men'!$A$2,"MES","1","AÑO",2008)</f>
        <v>77.254527834065428</v>
      </c>
      <c r="H43" s="342">
        <f>GETPIVOTDATA("Suma de extra-h Z4",'[1]tabla dinámica IO men'!$A$2,"MES","1","AÑO",2008)</f>
        <v>57.786197825536071</v>
      </c>
      <c r="I43" s="342">
        <f>GETPIVOTDATA("Suma de TOTAL Z4",'[1]tabla dinámica IO men'!$A$2,"MES","1","AÑO",2008)</f>
        <v>66.275256699520511</v>
      </c>
      <c r="J43" s="342">
        <f>GETPIVOTDATA("Suma de TOTAL hotelero",'[1]tabla dinámica IO men'!$A$2,"MES","1","AÑO",2008)</f>
        <v>73.885594447385358</v>
      </c>
      <c r="K43" s="342">
        <f>GETPIVOTDATA("Suma de extrahoteleros",'[1]tabla dinámica IO men'!$A$2,"MES","1","AÑO",2008)</f>
        <v>59.071407461758739</v>
      </c>
      <c r="L43" s="342">
        <f>GETPIVOTDATA("Suma de TOTAL general",'[1]tabla dinámica IO men'!$A$2,"MES","1","AÑO",2008)</f>
        <v>66.052129666391551</v>
      </c>
    </row>
    <row r="44" spans="3:12" collapsed="1">
      <c r="C44" s="58">
        <v>2008</v>
      </c>
      <c r="D44" s="346">
        <f>'[1]tabla dinámica IO men'!D509</f>
        <v>78.772487923790777</v>
      </c>
      <c r="E44" s="346">
        <f>'[1]tabla dinámica IO men'!D508</f>
        <v>51.951141874959497</v>
      </c>
      <c r="F44" s="346">
        <f>'[1]tabla dinámica IO men'!D510</f>
        <v>65.817717394308161</v>
      </c>
      <c r="G44" s="346">
        <f>GETPIVOTDATA("Suma de hotel Z4",'[1]tabla dinámica IO men'!$A$201,"MES","12","AÑO",2008)</f>
        <v>73.97029927782647</v>
      </c>
      <c r="H44" s="346">
        <f>GETPIVOTDATA("Suma de extra-h Z4",'[1]tabla dinámica IO men'!$A$201,"MES","12","AÑO",2008)</f>
        <v>52.602349456023518</v>
      </c>
      <c r="I44" s="346">
        <f>GETPIVOTDATA("Suma de TOTAL Z4",'[1]tabla dinámica IO men'!$A$201,"MES","12","AÑO",2008)</f>
        <v>61.999457957856222</v>
      </c>
      <c r="J44" s="346">
        <f>GETPIVOTDATA("Suma de TOTAL hotelero",'[1]tabla dinámica IO men'!$A$201,"MES","12","AÑO",2008)</f>
        <v>71.163950994623377</v>
      </c>
      <c r="K44" s="346">
        <f>GETPIVOTDATA("Suma de extrahoteleros",'[1]tabla dinámica IO men'!$A$201,"MES","12","AÑO",2008)</f>
        <v>53.189922191708618</v>
      </c>
      <c r="L44" s="346">
        <f>GETPIVOTDATA("Suma de TOTAL general",'[1]tabla dinámica IO men'!$A$201,"MES","12","AÑO",2008)</f>
        <v>61.717103063000927</v>
      </c>
    </row>
    <row r="45" spans="3:12" hidden="1" outlineLevel="1">
      <c r="C45" s="51" t="s">
        <v>37</v>
      </c>
      <c r="D45" s="342">
        <f>GETPIVOTDATA("dato",'[1]tabla dinámica IO men'!$A$96,"categoría","Hoteleros","mes",12,"año",2007)</f>
        <v>75.099999999999994</v>
      </c>
      <c r="E45" s="342">
        <f>GETPIVOTDATA("dato",'[1]tabla dinámica IO men'!$A$96,"categoría","extrahoteleros","mes",12,"año",2007)</f>
        <v>53.27</v>
      </c>
      <c r="F45" s="342">
        <f>GETPIVOTDATA("dato",'[1]tabla dinámica IO men'!$A$96,"categoría","total","mes",12,"año",2007)</f>
        <v>64.53</v>
      </c>
      <c r="G45" s="342">
        <f>GETPIVOTDATA("Suma de hotel Z4",'[1]tabla dinámica IO men'!$A$2,"MES","12","AÑO",2007)</f>
        <v>71.734661606578115</v>
      </c>
      <c r="H45" s="342">
        <f>GETPIVOTDATA("Suma de extra-h Z4",'[1]tabla dinámica IO men'!$A$2,"MES","12","AÑO",2007)</f>
        <v>56.451085702190774</v>
      </c>
      <c r="I45" s="342">
        <f>GETPIVOTDATA("Suma de TOTAL Z4",'[1]tabla dinámica IO men'!$A$2,"MES","12","AÑO",2007)</f>
        <v>63.102452456349347</v>
      </c>
      <c r="J45" s="342">
        <f>GETPIVOTDATA("Suma de TOTAL hotelero",'[1]tabla dinámica IO men'!$A$2,"MES","12","AÑO",2007)</f>
        <v>68.789489859201069</v>
      </c>
      <c r="K45" s="342">
        <f>GETPIVOTDATA("Suma de extrahoteleros",'[1]tabla dinámica IO men'!$A$2,"MES","12","AÑO",2007)</f>
        <v>57.502618168416596</v>
      </c>
      <c r="L45" s="342">
        <f>GETPIVOTDATA("Suma de TOTAL general",'[1]tabla dinámica IO men'!$A$2,"MES","12","AÑO",2007)</f>
        <v>62.820329411079243</v>
      </c>
    </row>
    <row r="46" spans="3:12" hidden="1" outlineLevel="1">
      <c r="C46" s="51" t="s">
        <v>38</v>
      </c>
      <c r="D46" s="342">
        <f>GETPIVOTDATA("dato",'[1]tabla dinámica IO men'!$A$96,"categoría","Hoteleros","mes",11,"año",2007)</f>
        <v>80</v>
      </c>
      <c r="E46" s="342">
        <f>GETPIVOTDATA("dato",'[1]tabla dinámica IO men'!$A$96,"categoría","extrahoteleros","mes",11,"año",2007)</f>
        <v>54.88</v>
      </c>
      <c r="F46" s="342">
        <f>GETPIVOTDATA("dato",'[1]tabla dinámica IO men'!$A$96,"categoría","total","mes",11,"año",2007)</f>
        <v>67.84</v>
      </c>
      <c r="G46" s="342">
        <f>GETPIVOTDATA("Suma de hotel Z4",'[1]tabla dinámica IO men'!$A$2,"MES","11","AÑO",2007)</f>
        <v>77.222484079101733</v>
      </c>
      <c r="H46" s="342">
        <f>GETPIVOTDATA("Suma de extra-h Z4",'[1]tabla dinámica IO men'!$A$2,"MES","11","AÑO",2007)</f>
        <v>57.72595022779641</v>
      </c>
      <c r="I46" s="342">
        <f>GETPIVOTDATA("Suma de TOTAL Z4",'[1]tabla dinámica IO men'!$A$2,"MES","11","AÑO",2007)</f>
        <v>66.210783743928815</v>
      </c>
      <c r="J46" s="342">
        <f>GETPIVOTDATA("Suma de TOTAL hotelero",'[1]tabla dinámica IO men'!$A$2,"MES","11","AÑO",2007)</f>
        <v>73.683990339817825</v>
      </c>
      <c r="K46" s="342">
        <f>GETPIVOTDATA("Suma de extrahoteleros",'[1]tabla dinámica IO men'!$A$2,"MES","11","AÑO",2007)</f>
        <v>58.001429800844328</v>
      </c>
      <c r="L46" s="342">
        <f>GETPIVOTDATA("Suma de TOTAL general",'[1]tabla dinámica IO men'!$A$2,"MES","11","AÑO",2007)</f>
        <v>65.39013154004526</v>
      </c>
    </row>
    <row r="47" spans="3:12" hidden="1" outlineLevel="1">
      <c r="C47" s="51" t="s">
        <v>39</v>
      </c>
      <c r="D47" s="342">
        <f>GETPIVOTDATA("dato",'[1]tabla dinámica IO men'!$A$96,"categoría","Hoteleros","mes",10,"año",2007)</f>
        <v>78.569999999999993</v>
      </c>
      <c r="E47" s="342">
        <f>GETPIVOTDATA("dato",'[1]tabla dinámica IO men'!$A$96,"categoría","extrahoteleros","mes",10,"año",2007)</f>
        <v>51</v>
      </c>
      <c r="F47" s="342">
        <f>GETPIVOTDATA("dato",'[1]tabla dinámica IO men'!$A$96,"categoría","total","mes",10,"año",2007)</f>
        <v>65.23</v>
      </c>
      <c r="G47" s="342">
        <f>GETPIVOTDATA("Suma de hotel Z4",'[1]tabla dinámica IO men'!$A$2,"MES","10","AÑO",2007)</f>
        <v>74.63022429815598</v>
      </c>
      <c r="H47" s="342">
        <f>GETPIVOTDATA("Suma de extra-h Z4",'[1]tabla dinámica IO men'!$A$2,"MES","10","AÑO",2007)</f>
        <v>51.960738753142216</v>
      </c>
      <c r="I47" s="342">
        <f>GETPIVOTDATA("Suma de TOTAL Z4",'[1]tabla dinámica IO men'!$A$2,"MES","10","AÑO",2007)</f>
        <v>61.826431404604676</v>
      </c>
      <c r="J47" s="342">
        <f>GETPIVOTDATA("Suma de TOTAL hotelero",'[1]tabla dinámica IO men'!$A$2,"MES","10","AÑO",2007)</f>
        <v>69.086472371130611</v>
      </c>
      <c r="K47" s="342">
        <f>GETPIVOTDATA("Suma de extrahoteleros",'[1]tabla dinámica IO men'!$A$2,"MES","10","AÑO",2007)</f>
        <v>51.435418621685976</v>
      </c>
      <c r="L47" s="342">
        <f>GETPIVOTDATA("Suma de TOTAL general",'[1]tabla dinámica IO men'!$A$2,"MES","10","AÑO",2007)</f>
        <v>59.75155878343709</v>
      </c>
    </row>
    <row r="48" spans="3:12" hidden="1" outlineLevel="1">
      <c r="C48" s="51" t="s">
        <v>40</v>
      </c>
      <c r="D48" s="342">
        <f>GETPIVOTDATA("dato",'[1]tabla dinámica IO men'!$A$96,"categoría","Hoteleros","mes",9,"año",2007)</f>
        <v>75.930000000000007</v>
      </c>
      <c r="E48" s="342">
        <f>GETPIVOTDATA("dato",'[1]tabla dinámica IO men'!$A$96,"categoría","extrahoteleros","mes",9,"año",2007)</f>
        <v>45.02</v>
      </c>
      <c r="F48" s="342">
        <f>GETPIVOTDATA("dato",'[1]tabla dinámica IO men'!$A$96,"categoría","total","mes",9,"año",2007)</f>
        <v>60.97</v>
      </c>
      <c r="G48" s="342">
        <f>GETPIVOTDATA("Suma de hotel Z4",'[1]tabla dinámica IO men'!$A$2,"MES","9","AÑO",2007)</f>
        <v>73.1649593598123</v>
      </c>
      <c r="H48" s="342">
        <f>GETPIVOTDATA("Suma de extra-h Z4",'[1]tabla dinámica IO men'!$A$2,"MES","9","AÑO",2007)</f>
        <v>46.424867539112782</v>
      </c>
      <c r="I48" s="342">
        <f>GETPIVOTDATA("Suma de TOTAL Z4",'[1]tabla dinámica IO men'!$A$2,"MES","9","AÑO",2007)</f>
        <v>58.062075928825557</v>
      </c>
      <c r="J48" s="342">
        <f>GETPIVOTDATA("Suma de TOTAL hotelero",'[1]tabla dinámica IO men'!$A$2,"MES","9","AÑO",2007)</f>
        <v>69.913590811417265</v>
      </c>
      <c r="K48" s="342">
        <f>GETPIVOTDATA("Suma de extrahoteleros",'[1]tabla dinámica IO men'!$A$2,"MES","9","AÑO",2007)</f>
        <v>46.800566499291875</v>
      </c>
      <c r="L48" s="342">
        <f>GETPIVOTDATA("Suma de TOTAL general",'[1]tabla dinámica IO men'!$A$2,"MES","9","AÑO",2007)</f>
        <v>57.690066495723741</v>
      </c>
    </row>
    <row r="49" spans="3:12" hidden="1" outlineLevel="1">
      <c r="C49" s="51" t="s">
        <v>41</v>
      </c>
      <c r="D49" s="342">
        <f>GETPIVOTDATA("dato",'[1]tabla dinámica IO men'!$A$96,"categoría","Hoteleros","mes",8,"año",2007)</f>
        <v>90.53</v>
      </c>
      <c r="E49" s="342">
        <f>GETPIVOTDATA("dato",'[1]tabla dinámica IO men'!$A$96,"categoría","extrahoteleros","mes",8,"año",2007)</f>
        <v>63.97</v>
      </c>
      <c r="F49" s="342">
        <f>GETPIVOTDATA("dato",'[1]tabla dinámica IO men'!$A$96,"categoría","total","mes",8,"año",2007)</f>
        <v>77.680000000000007</v>
      </c>
      <c r="G49" s="342">
        <f>GETPIVOTDATA("Suma de hotel Z4",'[1]tabla dinámica IO men'!$A$2,"MES","8","AÑO",2007)</f>
        <v>86.99981957216302</v>
      </c>
      <c r="H49" s="342">
        <f>GETPIVOTDATA("Suma de extra-h Z4",'[1]tabla dinámica IO men'!$A$2,"MES","8","AÑO",2007)</f>
        <v>63.041020536237653</v>
      </c>
      <c r="I49" s="342">
        <f>GETPIVOTDATA("Suma de TOTAL Z4",'[1]tabla dinámica IO men'!$A$2,"MES","8","AÑO",2007)</f>
        <v>73.467818582326757</v>
      </c>
      <c r="J49" s="342">
        <f>GETPIVOTDATA("Suma de TOTAL hotelero",'[1]tabla dinámica IO men'!$A$2,"MES","8","AÑO",2007)</f>
        <v>83.929598692673338</v>
      </c>
      <c r="K49" s="342">
        <f>GETPIVOTDATA("Suma de extrahoteleros",'[1]tabla dinámica IO men'!$A$2,"MES","8","AÑO",2007)</f>
        <v>63.937771202573771</v>
      </c>
      <c r="L49" s="342">
        <f>GETPIVOTDATA("Suma de TOTAL general",'[1]tabla dinámica IO men'!$A$2,"MES","8","AÑO",2007)</f>
        <v>73.356746514597177</v>
      </c>
    </row>
    <row r="50" spans="3:12" hidden="1" outlineLevel="1">
      <c r="C50" s="51" t="s">
        <v>42</v>
      </c>
      <c r="D50" s="342">
        <f>GETPIVOTDATA("dato",'[1]tabla dinámica IO men'!$A$96,"categoría","Hoteleros","mes",7,"año",2007)</f>
        <v>81.89</v>
      </c>
      <c r="E50" s="342">
        <f>GETPIVOTDATA("dato",'[1]tabla dinámica IO men'!$A$96,"categoría","extrahoteleros","mes",7,"año",2007)</f>
        <v>51.15</v>
      </c>
      <c r="F50" s="342">
        <f>GETPIVOTDATA("dato",'[1]tabla dinámica IO men'!$A$96,"categoría","total","mes",7,"año",2007)</f>
        <v>67.010000000000005</v>
      </c>
      <c r="G50" s="342">
        <f>GETPIVOTDATA("Suma de hotel Z4",'[1]tabla dinámica IO men'!$A$2,"MES","7","AÑO",2007)</f>
        <v>77.547326829822083</v>
      </c>
      <c r="H50" s="342">
        <f>GETPIVOTDATA("Suma de extra-h Z4",'[1]tabla dinámica IO men'!$A$2,"MES","7","AÑO",2007)</f>
        <v>53.850461574269154</v>
      </c>
      <c r="I50" s="342">
        <f>GETPIVOTDATA("Suma de TOTAL Z4",'[1]tabla dinámica IO men'!$A$2,"MES","7","AÑO",2007)</f>
        <v>64.163266818578137</v>
      </c>
      <c r="J50" s="342">
        <f>GETPIVOTDATA("Suma de TOTAL hotelero",'[1]tabla dinámica IO men'!$A$2,"MES","7","AÑO",2007)</f>
        <v>74.297744383040822</v>
      </c>
      <c r="K50" s="342">
        <f>GETPIVOTDATA("Suma de extrahoteleros",'[1]tabla dinámica IO men'!$A$2,"MES","7","AÑO",2007)</f>
        <v>54.562629801806125</v>
      </c>
      <c r="L50" s="342">
        <f>GETPIVOTDATA("Suma de TOTAL general",'[1]tabla dinámica IO men'!$A$2,"MES","7","AÑO",2007)</f>
        <v>63.860657063828924</v>
      </c>
    </row>
    <row r="51" spans="3:12" hidden="1" outlineLevel="1">
      <c r="C51" s="51" t="s">
        <v>43</v>
      </c>
      <c r="D51" s="342">
        <f>GETPIVOTDATA("dato",'[1]tabla dinámica IO men'!$A$96,"categoría","Hoteleros","mes",6,"año",2007)</f>
        <v>66.73</v>
      </c>
      <c r="E51" s="342">
        <f>GETPIVOTDATA("dato",'[1]tabla dinámica IO men'!$A$96,"categoría","extrahoteleros","mes",6,"año",2007)</f>
        <v>40.25</v>
      </c>
      <c r="F51" s="342">
        <f>GETPIVOTDATA("dato",'[1]tabla dinámica IO men'!$A$96,"categoría","total","mes",6,"año",2007)</f>
        <v>53.87</v>
      </c>
      <c r="G51" s="342">
        <f>GETPIVOTDATA("Suma de hotel Z4",'[1]tabla dinámica IO men'!$A$2,"MES","6","AÑO",2007)</f>
        <v>65.891010530867518</v>
      </c>
      <c r="H51" s="342">
        <f>GETPIVOTDATA("Suma de extra-h Z4",'[1]tabla dinámica IO men'!$A$2,"MES","6","AÑO",2007)</f>
        <v>42.224644926575998</v>
      </c>
      <c r="I51" s="342">
        <f>GETPIVOTDATA("Suma de TOTAL Z4",'[1]tabla dinámica IO men'!$A$2,"MES","6","AÑO",2007)</f>
        <v>52.455490053936252</v>
      </c>
      <c r="J51" s="342">
        <f>GETPIVOTDATA("Suma de TOTAL hotelero",'[1]tabla dinámica IO men'!$A$2,"MES","6","AÑO",2007)</f>
        <v>64.01123274778007</v>
      </c>
      <c r="K51" s="342">
        <f>GETPIVOTDATA("Suma de extrahoteleros",'[1]tabla dinámica IO men'!$A$2,"MES","6","AÑO",2007)</f>
        <v>43.003536316551042</v>
      </c>
      <c r="L51" s="342">
        <f>GETPIVOTDATA("Suma de TOTAL general",'[1]tabla dinámica IO men'!$A$2,"MES","6","AÑO",2007)</f>
        <v>52.815757706790627</v>
      </c>
    </row>
    <row r="52" spans="3:12" hidden="1" outlineLevel="1">
      <c r="C52" s="51" t="s">
        <v>44</v>
      </c>
      <c r="D52" s="342">
        <f>GETPIVOTDATA("dato",'[1]tabla dinámica IO men'!$A$96,"categoría","Hoteleros","mes",5,"año",2007)</f>
        <v>58.38</v>
      </c>
      <c r="E52" s="342">
        <f>GETPIVOTDATA("dato",'[1]tabla dinámica IO men'!$A$96,"categoría","extrahoteleros","mes",5,"año",2007)</f>
        <v>36.44</v>
      </c>
      <c r="F52" s="342">
        <f>GETPIVOTDATA("dato",'[1]tabla dinámica IO men'!$A$96,"categoría","total","mes",5,"año",2007)</f>
        <v>47.73</v>
      </c>
      <c r="G52" s="342">
        <f>GETPIVOTDATA("Suma de hotel Z4",'[1]tabla dinámica IO men'!$A$2,"MES","5","AÑO",2007)</f>
        <v>59.339253427205655</v>
      </c>
      <c r="H52" s="342">
        <f>GETPIVOTDATA("Suma de extra-h Z4",'[1]tabla dinámica IO men'!$A$2,"MES","5","AÑO",2007)</f>
        <v>38.925661231838298</v>
      </c>
      <c r="I52" s="342">
        <f>GETPIVOTDATA("Suma de TOTAL Z4",'[1]tabla dinámica IO men'!$A$2,"MES","5","AÑO",2007)</f>
        <v>47.750349556860293</v>
      </c>
      <c r="J52" s="342">
        <f>GETPIVOTDATA("Suma de TOTAL hotelero",'[1]tabla dinámica IO men'!$A$2,"MES","5","AÑO",2007)</f>
        <v>56.732444040952146</v>
      </c>
      <c r="K52" s="342">
        <f>GETPIVOTDATA("Suma de extrahoteleros",'[1]tabla dinámica IO men'!$A$2,"MES","5","AÑO",2007)</f>
        <v>38.926266720235986</v>
      </c>
      <c r="L52" s="342">
        <f>GETPIVOTDATA("Suma de TOTAL general",'[1]tabla dinámica IO men'!$A$2,"MES","5","AÑO",2007)</f>
        <v>47.243130711330338</v>
      </c>
    </row>
    <row r="53" spans="3:12" hidden="1" outlineLevel="1">
      <c r="C53" s="51" t="s">
        <v>45</v>
      </c>
      <c r="D53" s="342">
        <f>GETPIVOTDATA("dato",'[1]tabla dinámica IO men'!$A$96,"categoría","Hoteleros","mes",4,"año",2007)</f>
        <v>75.680000000000007</v>
      </c>
      <c r="E53" s="342">
        <f>GETPIVOTDATA("dato",'[1]tabla dinámica IO men'!$A$96,"categoría","extrahoteleros","mes",4,"año",2007)</f>
        <v>50.89</v>
      </c>
      <c r="F53" s="342">
        <f>GETPIVOTDATA("dato",'[1]tabla dinámica IO men'!$A$96,"categoría","total","mes",4,"año",2007)</f>
        <v>63.64</v>
      </c>
      <c r="G53" s="342">
        <f>GETPIVOTDATA("Suma de hotel Z4",'[1]tabla dinámica IO men'!$A$2,"MES","4","AÑO",2007)</f>
        <v>71.933787895566695</v>
      </c>
      <c r="H53" s="342">
        <f>GETPIVOTDATA("Suma de extra-h Z4",'[1]tabla dinámica IO men'!$A$2,"MES","4","AÑO",2007)</f>
        <v>49.916998951946127</v>
      </c>
      <c r="I53" s="342">
        <f>GETPIVOTDATA("Suma de TOTAL Z4",'[1]tabla dinámica IO men'!$A$2,"MES","4","AÑO",2007)</f>
        <v>59.434740782280826</v>
      </c>
      <c r="J53" s="342">
        <f>GETPIVOTDATA("Suma de TOTAL hotelero",'[1]tabla dinámica IO men'!$A$2,"MES","4","AÑO",2007)</f>
        <v>70.356076561668246</v>
      </c>
      <c r="K53" s="342">
        <f>GETPIVOTDATA("Suma de extrahoteleros",'[1]tabla dinámica IO men'!$A$2,"MES","4","AÑO",2007)</f>
        <v>49.946312899779571</v>
      </c>
      <c r="L53" s="342">
        <f>GETPIVOTDATA("Suma de TOTAL general",'[1]tabla dinámica IO men'!$A$2,"MES","4","AÑO",2007)</f>
        <v>59.479253373691513</v>
      </c>
    </row>
    <row r="54" spans="3:12" hidden="1" outlineLevel="1">
      <c r="C54" s="51" t="s">
        <v>46</v>
      </c>
      <c r="D54" s="342">
        <f>GETPIVOTDATA("dato",'[1]tabla dinámica IO men'!$A$96,"categoría","Hoteleros","mes",3,"año",2007)</f>
        <v>75.55</v>
      </c>
      <c r="E54" s="342">
        <f>GETPIVOTDATA("dato",'[1]tabla dinámica IO men'!$A$96,"categoría","extrahoteleros","mes",3,"año",2007)</f>
        <v>58.62</v>
      </c>
      <c r="F54" s="342">
        <f>GETPIVOTDATA("dato",'[1]tabla dinámica IO men'!$A$96,"categoría","total","mes",3,"año",2007)</f>
        <v>67.33</v>
      </c>
      <c r="G54" s="342">
        <f>GETPIVOTDATA("Suma de hotel Z4",'[1]tabla dinámica IO men'!$A$2,"MES","3","AÑO",2007)</f>
        <v>76.945213190231797</v>
      </c>
      <c r="H54" s="342">
        <f>GETPIVOTDATA("Suma de extra-h Z4",'[1]tabla dinámica IO men'!$A$2,"MES","3","AÑO",2007)</f>
        <v>59.004655815144595</v>
      </c>
      <c r="I54" s="342">
        <f>GETPIVOTDATA("Suma de TOTAL Z4",'[1]tabla dinámica IO men'!$A$2,"MES","3","AÑO",2007)</f>
        <v>66.760264220423124</v>
      </c>
      <c r="J54" s="342">
        <f>GETPIVOTDATA("Suma de TOTAL hotelero",'[1]tabla dinámica IO men'!$A$2,"MES","3","AÑO",2007)</f>
        <v>75.688377853946903</v>
      </c>
      <c r="K54" s="342">
        <f>GETPIVOTDATA("Suma de extrahoteleros",'[1]tabla dinámica IO men'!$A$2,"MES","3","AÑO",2007)</f>
        <v>60.081675759927442</v>
      </c>
      <c r="L54" s="342">
        <f>GETPIVOTDATA("Suma de TOTAL general",'[1]tabla dinámica IO men'!$A$2,"MES","3","AÑO",2007)</f>
        <v>67.371214459200985</v>
      </c>
    </row>
    <row r="55" spans="3:12" hidden="1" outlineLevel="1">
      <c r="C55" s="51" t="s">
        <v>47</v>
      </c>
      <c r="D55" s="342">
        <f>GETPIVOTDATA("dato",'[1]tabla dinámica IO men'!$A$96,"categoría","Hoteleros","mes",2,"año",2007)</f>
        <v>76.19</v>
      </c>
      <c r="E55" s="342">
        <f>GETPIVOTDATA("dato",'[1]tabla dinámica IO men'!$A$96,"categoría","extrahoteleros","mes",2,"año",2007)</f>
        <v>58.85</v>
      </c>
      <c r="F55" s="342">
        <f>GETPIVOTDATA("dato",'[1]tabla dinámica IO men'!$A$96,"categoría","total","mes",2,"año",2007)</f>
        <v>67.77</v>
      </c>
      <c r="G55" s="342">
        <f>GETPIVOTDATA("Suma de hotel Z4",'[1]tabla dinámica IO men'!$A$2,"MES","2","AÑO",2007)</f>
        <v>76.789189042594302</v>
      </c>
      <c r="H55" s="342">
        <f>GETPIVOTDATA("Suma de extra-h Z4",'[1]tabla dinámica IO men'!$A$2,"MES","2","AÑO",2007)</f>
        <v>61.06084047380984</v>
      </c>
      <c r="I55" s="342">
        <f>GETPIVOTDATA("Suma de TOTAL Z4",'[1]tabla dinámica IO men'!$A$2,"MES","2","AÑO",2007)</f>
        <v>67.860122670616306</v>
      </c>
      <c r="J55" s="342">
        <f>GETPIVOTDATA("Suma de TOTAL hotelero",'[1]tabla dinámica IO men'!$A$2,"MES","2","AÑO",2007)</f>
        <v>75.526452393626698</v>
      </c>
      <c r="K55" s="342">
        <f>GETPIVOTDATA("Suma de extrahoteleros",'[1]tabla dinámica IO men'!$A$2,"MES","2","AÑO",2007)</f>
        <v>61.990054653043011</v>
      </c>
      <c r="L55" s="342">
        <f>GETPIVOTDATA("Suma de TOTAL general",'[1]tabla dinámica IO men'!$A$2,"MES","2","AÑO",2007)</f>
        <v>68.312600863273801</v>
      </c>
    </row>
    <row r="56" spans="3:12" hidden="1" outlineLevel="1">
      <c r="C56" s="51" t="s">
        <v>48</v>
      </c>
      <c r="D56" s="342">
        <f>GETPIVOTDATA("dato",'[1]tabla dinámica IO men'!$A$96,"categoría","Hoteleros","mes",1,"año",2007)</f>
        <v>76.599999999999994</v>
      </c>
      <c r="E56" s="342">
        <f>GETPIVOTDATA("dato",'[1]tabla dinámica IO men'!$A$96,"categoría","extrahoteleros","mes",1,"año",2007)</f>
        <v>56.19</v>
      </c>
      <c r="F56" s="342">
        <f>GETPIVOTDATA("dato",'[1]tabla dinámica IO men'!$A$96,"categoría","total","mes",1,"año",2007)</f>
        <v>66.69</v>
      </c>
      <c r="G56" s="342">
        <f>GETPIVOTDATA("Suma de hotel Z4",'[1]tabla dinámica IO men'!$A$2,"MES","1","AÑO",2007)</f>
        <v>76.674537557519841</v>
      </c>
      <c r="H56" s="342">
        <f>GETPIVOTDATA("Suma de extra-h Z4",'[1]tabla dinámica IO men'!$A$2,"MES","1","AÑO",2007)</f>
        <v>56.685530600103135</v>
      </c>
      <c r="I56" s="342">
        <f>GETPIVOTDATA("Suma de TOTAL Z4",'[1]tabla dinámica IO men'!$A$2,"MES","1","AÑO",2007)</f>
        <v>65.326672964352483</v>
      </c>
      <c r="J56" s="342">
        <f>GETPIVOTDATA("Suma de TOTAL hotelero",'[1]tabla dinámica IO men'!$A$2,"MES","1","AÑO",2007)</f>
        <v>73.662869741088841</v>
      </c>
      <c r="K56" s="342">
        <f>GETPIVOTDATA("Suma de extrahoteleros",'[1]tabla dinámica IO men'!$A$2,"MES","1","AÑO",2007)</f>
        <v>57.920199602417945</v>
      </c>
      <c r="L56" s="342">
        <f>GETPIVOTDATA("Suma de TOTAL general",'[1]tabla dinámica IO men'!$A$2,"MES","1","AÑO",2007)</f>
        <v>65.27324590998569</v>
      </c>
    </row>
    <row r="57" spans="3:12" collapsed="1">
      <c r="C57" s="58">
        <v>2007</v>
      </c>
      <c r="D57" s="346">
        <f>'[1]tabla dinámica IO men'!C509</f>
        <v>75.950608009765716</v>
      </c>
      <c r="E57" s="346">
        <f>'[1]tabla dinámica IO men'!C508</f>
        <v>51.692424559519125</v>
      </c>
      <c r="F57" s="346">
        <f>'[1]tabla dinámica IO men'!C510</f>
        <v>64.189503599483345</v>
      </c>
      <c r="G57" s="346">
        <f>GETPIVOTDATA("Suma de hotel Z4",'[1]tabla dinámica IO men'!$A$201,"MES","12","AÑO",2007)</f>
        <v>74.082336868154144</v>
      </c>
      <c r="H57" s="346">
        <f>GETPIVOTDATA("Suma de extra-h Z4",'[1]tabla dinámica IO men'!$A$201,"MES","12","AÑO",2007)</f>
        <v>53.080245022960767</v>
      </c>
      <c r="I57" s="346">
        <f>GETPIVOTDATA("Suma de TOTAL Z4",'[1]tabla dinámica IO men'!$A$201,"MES","12","AÑO",2007)</f>
        <v>62.190069290217323</v>
      </c>
      <c r="J57" s="346">
        <f>GETPIVOTDATA("Suma de TOTAL hotelero",'[1]tabla dinámica IO men'!$A$201,"MES","12","AÑO",2007)</f>
        <v>71.306054020928357</v>
      </c>
      <c r="K57" s="346">
        <f>GETPIVOTDATA("Suma de extrahoteleros",'[1]tabla dinámica IO men'!$A$201,"MES","12","AÑO",2007)</f>
        <v>53.651891651545817</v>
      </c>
      <c r="L57" s="346">
        <f>GETPIVOTDATA("Suma de TOTAL general",'[1]tabla dinámica IO men'!$A$201,"MES","12","AÑO",2007)</f>
        <v>61.934017800105615</v>
      </c>
    </row>
    <row r="58" spans="3:12" hidden="1" outlineLevel="1">
      <c r="C58" s="51" t="s">
        <v>37</v>
      </c>
      <c r="D58" s="342">
        <f>GETPIVOTDATA("dato",'[1]tabla dinámica IO men'!$A$96,"categoría","Hoteleros","mes",12,"año",2006)</f>
        <v>72.099999999999994</v>
      </c>
      <c r="E58" s="342">
        <f>GETPIVOTDATA("dato",'[1]tabla dinámica IO men'!$A$96,"categoría","extrahoteleros","mes",12,"año",2006)</f>
        <v>51.89</v>
      </c>
      <c r="F58" s="342">
        <f>GETPIVOTDATA("dato",'[1]tabla dinámica IO men'!$A$96,"categoría","total","mes",12,"año",2006)</f>
        <v>62.31</v>
      </c>
      <c r="G58" s="342">
        <f>GETPIVOTDATA("Suma de hotel Z4",'[1]tabla dinámica IO men'!$A$2,"MES","12","AÑO",2006)</f>
        <v>72.268024650054528</v>
      </c>
      <c r="H58" s="342">
        <f>GETPIVOTDATA("Suma de extra-h Z4",'[1]tabla dinámica IO men'!$A$2,"MES","12","AÑO",2006)</f>
        <v>55.234135881903526</v>
      </c>
      <c r="I58" s="342">
        <f>GETPIVOTDATA("Suma de TOTAL Z4",'[1]tabla dinámica IO men'!$A$2,"MES","12","AÑO",2006)</f>
        <v>62.598474665387641</v>
      </c>
      <c r="J58" s="342">
        <f>GETPIVOTDATA("Suma de TOTAL hotelero",'[1]tabla dinámica IO men'!$A$2,"MES","12","AÑO",2006)</f>
        <v>69.678547507361941</v>
      </c>
      <c r="K58" s="342">
        <f>GETPIVOTDATA("Suma de extrahoteleros",'[1]tabla dinámica IO men'!$A$2,"MES","12","AÑO",2006)</f>
        <v>56.217783705294451</v>
      </c>
      <c r="L58" s="342">
        <f>GETPIVOTDATA("Suma de TOTAL general",'[1]tabla dinámica IO men'!$A$2,"MES","12","AÑO",2006)</f>
        <v>62.500496916329055</v>
      </c>
    </row>
    <row r="59" spans="3:12" hidden="1" outlineLevel="1">
      <c r="C59" s="51" t="s">
        <v>38</v>
      </c>
      <c r="D59" s="342">
        <f>GETPIVOTDATA("dato",'[1]tabla dinámica IO men'!$A$96,"categoría","Hoteleros","mes",11,"año",2006)</f>
        <v>76.459999999999994</v>
      </c>
      <c r="E59" s="342">
        <f>GETPIVOTDATA("dato",'[1]tabla dinámica IO men'!$A$96,"categoría","extrahoteleros","mes",11,"año",2006)</f>
        <v>52.9</v>
      </c>
      <c r="F59" s="342">
        <f>GETPIVOTDATA("dato",'[1]tabla dinámica IO men'!$A$96,"categoría","total","mes",11,"año",2006)</f>
        <v>65.040000000000006</v>
      </c>
      <c r="G59" s="342">
        <f>GETPIVOTDATA("Suma de hotel Z4",'[1]tabla dinámica IO men'!$A$2,"MES","11","AÑO",2006)</f>
        <v>74.484363866677228</v>
      </c>
      <c r="H59" s="342">
        <f>GETPIVOTDATA("Suma de extra-h Z4",'[1]tabla dinámica IO men'!$A$2,"MES","11","AÑO",2006)</f>
        <v>57.137901371536991</v>
      </c>
      <c r="I59" s="342">
        <f>GETPIVOTDATA("Suma de TOTAL Z4",'[1]tabla dinámica IO men'!$A$2,"MES","11","AÑO",2006)</f>
        <v>64.637376579339488</v>
      </c>
      <c r="J59" s="342">
        <f>GETPIVOTDATA("Suma de TOTAL hotelero",'[1]tabla dinámica IO men'!$A$2,"MES","11","AÑO",2006)</f>
        <v>72.602727563991209</v>
      </c>
      <c r="K59" s="342">
        <f>GETPIVOTDATA("Suma de extrahoteleros",'[1]tabla dinámica IO men'!$A$2,"MES","11","AÑO",2006)</f>
        <v>57.609273693564027</v>
      </c>
      <c r="L59" s="342">
        <f>GETPIVOTDATA("Suma de TOTAL general",'[1]tabla dinámica IO men'!$A$2,"MES","11","AÑO",2006)</f>
        <v>64.607358801951591</v>
      </c>
    </row>
    <row r="60" spans="3:12" hidden="1" outlineLevel="1">
      <c r="C60" s="51" t="s">
        <v>39</v>
      </c>
      <c r="D60" s="342">
        <f>GETPIVOTDATA("dato",'[1]tabla dinámica IO men'!$A$96,"categoría","Hoteleros","mes",10,"año",2006)</f>
        <v>80.400000000000006</v>
      </c>
      <c r="E60" s="342">
        <f>GETPIVOTDATA("dato",'[1]tabla dinámica IO men'!$A$96,"categoría","extrahoteleros","mes",10,"año",2006)</f>
        <v>52.45</v>
      </c>
      <c r="F60" s="342">
        <f>GETPIVOTDATA("dato",'[1]tabla dinámica IO men'!$A$96,"categoría","total","mes",10,"año",2006)</f>
        <v>66.849999999999994</v>
      </c>
      <c r="G60" s="342">
        <f>GETPIVOTDATA("Suma de hotel Z4",'[1]tabla dinámica IO men'!$A$2,"MES","10","AÑO",2006)</f>
        <v>78.063341344005153</v>
      </c>
      <c r="H60" s="342">
        <f>GETPIVOTDATA("Suma de extra-h Z4",'[1]tabla dinámica IO men'!$A$2,"MES","10","AÑO",2006)</f>
        <v>57.263043813145657</v>
      </c>
      <c r="I60" s="342">
        <f>GETPIVOTDATA("Suma de TOTAL Z4",'[1]tabla dinámica IO men'!$A$2,"MES","10","AÑO",2006)</f>
        <v>66.255731266930468</v>
      </c>
      <c r="J60" s="342">
        <f>GETPIVOTDATA("Suma de TOTAL hotelero",'[1]tabla dinámica IO men'!$A$2,"MES","10","AÑO",2006)</f>
        <v>73.914573451881495</v>
      </c>
      <c r="K60" s="342">
        <f>GETPIVOTDATA("Suma de extrahoteleros",'[1]tabla dinámica IO men'!$A$2,"MES","10","AÑO",2006)</f>
        <v>55.910142102366933</v>
      </c>
      <c r="L60" s="342">
        <f>GETPIVOTDATA("Suma de TOTAL general",'[1]tabla dinámica IO men'!$A$2,"MES","10","AÑO",2006)</f>
        <v>64.313578962271322</v>
      </c>
    </row>
    <row r="61" spans="3:12" hidden="1" outlineLevel="1">
      <c r="C61" s="51" t="s">
        <v>40</v>
      </c>
      <c r="D61" s="342">
        <f>GETPIVOTDATA("dato",'[1]tabla dinámica IO men'!$A$96,"categoría","Hoteleros","mes",9,"año",2006)</f>
        <v>78.08</v>
      </c>
      <c r="E61" s="342">
        <f>GETPIVOTDATA("dato",'[1]tabla dinámica IO men'!$A$96,"categoría","extrahoteleros","mes",9,"año",2006)</f>
        <v>50.4</v>
      </c>
      <c r="F61" s="342">
        <f>GETPIVOTDATA("dato",'[1]tabla dinámica IO men'!$A$96,"categoría","total","mes",9,"año",2006)</f>
        <v>64.66</v>
      </c>
      <c r="G61" s="342">
        <f>GETPIVOTDATA("Suma de hotel Z4",'[1]tabla dinámica IO men'!$A$2,"MES","9","AÑO",2006)</f>
        <v>75.71614810123242</v>
      </c>
      <c r="H61" s="342">
        <f>GETPIVOTDATA("Suma de extra-h Z4",'[1]tabla dinámica IO men'!$A$2,"MES","9","AÑO",2006)</f>
        <v>52.574606466965733</v>
      </c>
      <c r="I61" s="342">
        <f>GETPIVOTDATA("Suma de TOTAL Z4",'[1]tabla dinámica IO men'!$A$2,"MES","9","AÑO",2006)</f>
        <v>62.579494657000666</v>
      </c>
      <c r="J61" s="342">
        <f>GETPIVOTDATA("Suma de TOTAL hotelero",'[1]tabla dinámica IO men'!$A$2,"MES","9","AÑO",2006)</f>
        <v>74.531477385460448</v>
      </c>
      <c r="K61" s="342">
        <f>GETPIVOTDATA("Suma de extrahoteleros",'[1]tabla dinámica IO men'!$A$2,"MES","9","AÑO",2006)</f>
        <v>52.585640100413208</v>
      </c>
      <c r="L61" s="342">
        <f>GETPIVOTDATA("Suma de TOTAL general",'[1]tabla dinámica IO men'!$A$2,"MES","9","AÑO",2006)</f>
        <v>62.828699399678577</v>
      </c>
    </row>
    <row r="62" spans="3:12" hidden="1" outlineLevel="1">
      <c r="C62" s="51" t="s">
        <v>41</v>
      </c>
      <c r="D62" s="342">
        <f>GETPIVOTDATA("dato",'[1]tabla dinámica IO men'!$A$96,"categoría","Hoteleros","mes",8,"año",2006)</f>
        <v>94.04</v>
      </c>
      <c r="E62" s="342">
        <f>GETPIVOTDATA("dato",'[1]tabla dinámica IO men'!$A$96,"categoría","extrahoteleros","mes",8,"año",2006)</f>
        <v>70.11</v>
      </c>
      <c r="F62" s="342">
        <f>GETPIVOTDATA("dato",'[1]tabla dinámica IO men'!$A$96,"categoría","total","mes",8,"año",2006)</f>
        <v>82.44</v>
      </c>
      <c r="G62" s="342">
        <f>GETPIVOTDATA("Suma de hotel Z4",'[1]tabla dinámica IO men'!$A$2,"MES","8","AÑO",2006)</f>
        <v>90.852357614777773</v>
      </c>
      <c r="H62" s="342">
        <f>GETPIVOTDATA("Suma de extra-h Z4",'[1]tabla dinámica IO men'!$A$2,"MES","8","AÑO",2006)</f>
        <v>71.820018641243209</v>
      </c>
      <c r="I62" s="342">
        <f>GETPIVOTDATA("Suma de TOTAL Z4",'[1]tabla dinámica IO men'!$A$2,"MES","8","AÑO",2006)</f>
        <v>80.048356512351134</v>
      </c>
      <c r="J62" s="342">
        <f>GETPIVOTDATA("Suma de TOTAL hotelero",'[1]tabla dinámica IO men'!$A$2,"MES","8","AÑO",2006)</f>
        <v>88.270799938586663</v>
      </c>
      <c r="K62" s="342">
        <f>GETPIVOTDATA("Suma de extrahoteleros",'[1]tabla dinámica IO men'!$A$2,"MES","8","AÑO",2006)</f>
        <v>71.434255952974553</v>
      </c>
      <c r="L62" s="342">
        <f>GETPIVOTDATA("Suma de TOTAL general",'[1]tabla dinámica IO men'!$A$2,"MES","8","AÑO",2006)</f>
        <v>79.292589913958508</v>
      </c>
    </row>
    <row r="63" spans="3:12" hidden="1" outlineLevel="1">
      <c r="C63" s="51" t="s">
        <v>42</v>
      </c>
      <c r="D63" s="342">
        <f>GETPIVOTDATA("dato",'[1]tabla dinámica IO men'!$A$96,"categoría","Hoteleros","mes",7,"año",2006)</f>
        <v>84.91</v>
      </c>
      <c r="E63" s="342">
        <f>GETPIVOTDATA("dato",'[1]tabla dinámica IO men'!$A$96,"categoría","extrahoteleros","mes",7,"año",2006)</f>
        <v>59.44</v>
      </c>
      <c r="F63" s="342">
        <f>GETPIVOTDATA("dato",'[1]tabla dinámica IO men'!$A$96,"categoría","total","mes",7,"año",2006)</f>
        <v>72.569999999999993</v>
      </c>
      <c r="G63" s="342">
        <f>GETPIVOTDATA("Suma de hotel Z4",'[1]tabla dinámica IO men'!$A$2,"MES","7","AÑO",2006)</f>
        <v>82.528954620097508</v>
      </c>
      <c r="H63" s="342">
        <f>GETPIVOTDATA("Suma de extra-h Z4",'[1]tabla dinámica IO men'!$A$2,"MES","7","AÑO",2006)</f>
        <v>61.294057053407627</v>
      </c>
      <c r="I63" s="342">
        <f>GETPIVOTDATA("Suma de TOTAL Z4",'[1]tabla dinámica IO men'!$A$2,"MES","7","AÑO",2006)</f>
        <v>70.474637121893167</v>
      </c>
      <c r="J63" s="342">
        <f>GETPIVOTDATA("Suma de TOTAL hotelero",'[1]tabla dinámica IO men'!$A$2,"MES","7","AÑO",2006)</f>
        <v>80.542170677522833</v>
      </c>
      <c r="K63" s="342">
        <f>GETPIVOTDATA("Suma de extrahoteleros",'[1]tabla dinámica IO men'!$A$2,"MES","7","AÑO",2006)</f>
        <v>61.207927337858749</v>
      </c>
      <c r="L63" s="342">
        <f>GETPIVOTDATA("Suma de TOTAL general",'[1]tabla dinámica IO men'!$A$2,"MES","7","AÑO",2006)</f>
        <v>70.232044233573689</v>
      </c>
    </row>
    <row r="64" spans="3:12" hidden="1" outlineLevel="1">
      <c r="C64" s="51" t="s">
        <v>43</v>
      </c>
      <c r="D64" s="342">
        <f>GETPIVOTDATA("dato",'[1]tabla dinámica IO men'!$A$96,"categoría","Hoteleros","mes",6,"año",2006)</f>
        <v>72.260000000000005</v>
      </c>
      <c r="E64" s="342">
        <f>GETPIVOTDATA("dato",'[1]tabla dinámica IO men'!$A$96,"categoría","extrahoteleros","mes",6,"año",2006)</f>
        <v>45.42</v>
      </c>
      <c r="F64" s="342">
        <f>GETPIVOTDATA("dato",'[1]tabla dinámica IO men'!$A$96,"categoría","total","mes",6,"año",2006)</f>
        <v>59.2</v>
      </c>
      <c r="G64" s="342">
        <f>GETPIVOTDATA("Suma de hotel Z4",'[1]tabla dinámica IO men'!$A$2,"MES","6","AÑO",2006)</f>
        <v>71.569850386893876</v>
      </c>
      <c r="H64" s="342">
        <f>GETPIVOTDATA("Suma de extra-h Z4",'[1]tabla dinámica IO men'!$A$2,"MES","6","AÑO",2006)</f>
        <v>47.396571961474763</v>
      </c>
      <c r="I64" s="342">
        <f>GETPIVOTDATA("Suma de TOTAL Z4",'[1]tabla dinámica IO men'!$A$2,"MES","6","AÑO",2006)</f>
        <v>57.818898988166694</v>
      </c>
      <c r="J64" s="342">
        <f>GETPIVOTDATA("Suma de TOTAL hotelero",'[1]tabla dinámica IO men'!$A$2,"MES","6","AÑO",2006)</f>
        <v>69.395615676339446</v>
      </c>
      <c r="K64" s="342">
        <f>GETPIVOTDATA("Suma de extrahoteleros",'[1]tabla dinámica IO men'!$A$2,"MES","6","AÑO",2006)</f>
        <v>47.118559888099412</v>
      </c>
      <c r="L64" s="342">
        <f>GETPIVOTDATA("Suma de TOTAL general",'[1]tabla dinámica IO men'!$A$2,"MES","6","AÑO",2006)</f>
        <v>57.496661397088019</v>
      </c>
    </row>
    <row r="65" spans="3:12" hidden="1" outlineLevel="1">
      <c r="C65" s="51" t="s">
        <v>44</v>
      </c>
      <c r="D65" s="342">
        <f>GETPIVOTDATA("dato",'[1]tabla dinámica IO men'!$A$96,"categoría","Hoteleros","mes",5,"año",2006)</f>
        <v>66.209999999999994</v>
      </c>
      <c r="E65" s="342">
        <f>GETPIVOTDATA("dato",'[1]tabla dinámica IO men'!$A$96,"categoría","extrahoteleros","mes",5,"año",2006)</f>
        <v>40.92</v>
      </c>
      <c r="F65" s="342">
        <f>GETPIVOTDATA("dato",'[1]tabla dinámica IO men'!$A$96,"categoría","total","mes",5,"año",2006)</f>
        <v>53.9</v>
      </c>
      <c r="G65" s="342">
        <f>GETPIVOTDATA("Suma de hotel Z4",'[1]tabla dinámica IO men'!$A$2,"MES","5","AÑO",2006)</f>
        <v>65.481956557777977</v>
      </c>
      <c r="H65" s="342">
        <f>GETPIVOTDATA("Suma de extra-h Z4",'[1]tabla dinámica IO men'!$A$2,"MES","5","AÑO",2006)</f>
        <v>42.676971218107212</v>
      </c>
      <c r="I65" s="342">
        <f>GETPIVOTDATA("Suma de TOTAL Z4",'[1]tabla dinámica IO men'!$A$2,"MES","5","AÑO",2006)</f>
        <v>52.509357660114738</v>
      </c>
      <c r="J65" s="342">
        <f>GETPIVOTDATA("Suma de TOTAL hotelero",'[1]tabla dinámica IO men'!$A$2,"MES","5","AÑO",2006)</f>
        <v>63.988672620513668</v>
      </c>
      <c r="K65" s="342">
        <f>GETPIVOTDATA("Suma de extrahoteleros",'[1]tabla dinámica IO men'!$A$2,"MES","5","AÑO",2006)</f>
        <v>41.937184090263337</v>
      </c>
      <c r="L65" s="342">
        <f>GETPIVOTDATA("Suma de TOTAL general",'[1]tabla dinámica IO men'!$A$2,"MES","5","AÑO",2006)</f>
        <v>52.210201699351792</v>
      </c>
    </row>
    <row r="66" spans="3:12" hidden="1" outlineLevel="1">
      <c r="C66" s="51" t="s">
        <v>45</v>
      </c>
      <c r="D66" s="342">
        <f>GETPIVOTDATA("dato",'[1]tabla dinámica IO men'!$A$96,"categoría","Hoteleros","mes",4,"año",2006)</f>
        <v>81.81</v>
      </c>
      <c r="E66" s="342">
        <f>GETPIVOTDATA("dato",'[1]tabla dinámica IO men'!$A$96,"categoría","extrahoteleros","mes",4,"año",2006)</f>
        <v>56.06</v>
      </c>
      <c r="F66" s="342">
        <f>GETPIVOTDATA("dato",'[1]tabla dinámica IO men'!$A$96,"categoría","total","mes",4,"año",2006)</f>
        <v>69.28</v>
      </c>
      <c r="G66" s="342">
        <f>GETPIVOTDATA("Suma de hotel Z4",'[1]tabla dinámica IO men'!$A$2,"MES","4","AÑO",2006)</f>
        <v>78.806118173670001</v>
      </c>
      <c r="H66" s="342">
        <f>GETPIVOTDATA("Suma de extra-h Z4",'[1]tabla dinámica IO men'!$A$2,"MES","4","AÑO",2006)</f>
        <v>55.526827778045764</v>
      </c>
      <c r="I66" s="342">
        <f>GETPIVOTDATA("Suma de TOTAL Z4",'[1]tabla dinámica IO men'!$A$2,"MES","4","AÑO",2006)</f>
        <v>65.563711198765219</v>
      </c>
      <c r="J66" s="342">
        <f>GETPIVOTDATA("Suma de TOTAL hotelero",'[1]tabla dinámica IO men'!$A$2,"MES","4","AÑO",2006)</f>
        <v>75.113017001940761</v>
      </c>
      <c r="K66" s="342">
        <f>GETPIVOTDATA("Suma de extrahoteleros",'[1]tabla dinámica IO men'!$A$2,"MES","4","AÑO",2006)</f>
        <v>55.571243711504607</v>
      </c>
      <c r="L66" s="342">
        <f>GETPIVOTDATA("Suma de TOTAL general",'[1]tabla dinámica IO men'!$A$2,"MES","4","AÑO",2006)</f>
        <v>64.675072727403972</v>
      </c>
    </row>
    <row r="67" spans="3:12" hidden="1" outlineLevel="1">
      <c r="C67" s="51" t="s">
        <v>46</v>
      </c>
      <c r="D67" s="342">
        <f>GETPIVOTDATA("dato",'[1]tabla dinámica IO men'!$A$96,"categoría","Hoteleros","mes",3,"año",2006)</f>
        <v>78.12</v>
      </c>
      <c r="E67" s="342">
        <f>GETPIVOTDATA("dato",'[1]tabla dinámica IO men'!$A$96,"categoría","extrahoteleros","mes",3,"año",2006)</f>
        <v>58.61</v>
      </c>
      <c r="F67" s="342">
        <f>GETPIVOTDATA("dato",'[1]tabla dinámica IO men'!$A$96,"categoría","total","mes",3,"año",2006)</f>
        <v>68.63</v>
      </c>
      <c r="G67" s="342">
        <f>GETPIVOTDATA("Suma de hotel Z4",'[1]tabla dinámica IO men'!$A$2,"MES","3","AÑO",2006)</f>
        <v>77.319425718070548</v>
      </c>
      <c r="H67" s="342">
        <f>GETPIVOTDATA("Suma de extra-h Z4",'[1]tabla dinámica IO men'!$A$2,"MES","3","AÑO",2006)</f>
        <v>59.466538346033133</v>
      </c>
      <c r="I67" s="342">
        <f>GETPIVOTDATA("Suma de TOTAL Z4",'[1]tabla dinámica IO men'!$A$2,"MES","3","AÑO",2006)</f>
        <v>67.163824054967606</v>
      </c>
      <c r="J67" s="342">
        <f>GETPIVOTDATA("Suma de TOTAL hotelero",'[1]tabla dinámica IO men'!$A$2,"MES","3","AÑO",2006)</f>
        <v>75.826226542341402</v>
      </c>
      <c r="K67" s="342">
        <f>GETPIVOTDATA("Suma de extrahoteleros",'[1]tabla dinámica IO men'!$A$2,"MES","3","AÑO",2006)</f>
        <v>60.398492167057007</v>
      </c>
      <c r="L67" s="342">
        <f>GETPIVOTDATA("Suma de TOTAL general",'[1]tabla dinámica IO men'!$A$2,"MES","3","AÑO",2006)</f>
        <v>67.585734274918323</v>
      </c>
    </row>
    <row r="68" spans="3:12" hidden="1" outlineLevel="1">
      <c r="C68" s="51" t="s">
        <v>47</v>
      </c>
      <c r="D68" s="342">
        <f>GETPIVOTDATA("dato",'[1]tabla dinámica IO men'!$A$96,"categoría","Hoteleros","mes",2,"año",2006)</f>
        <v>78.55</v>
      </c>
      <c r="E68" s="342">
        <f>GETPIVOTDATA("dato",'[1]tabla dinámica IO men'!$A$96,"categoría","extrahoteleros","mes",2,"año",2006)</f>
        <v>60.81</v>
      </c>
      <c r="F68" s="342">
        <f>GETPIVOTDATA("dato",'[1]tabla dinámica IO men'!$A$96,"categoría","total","mes",2,"año",2006)</f>
        <v>69.92</v>
      </c>
      <c r="G68" s="342">
        <f>GETPIVOTDATA("Suma de hotel Z4",'[1]tabla dinámica IO men'!$A$2,"MES","2","AÑO",2006)</f>
        <v>76.709428421413918</v>
      </c>
      <c r="H68" s="342">
        <f>GETPIVOTDATA("Suma de extra-h Z4",'[1]tabla dinámica IO men'!$A$2,"MES","2","AÑO",2006)</f>
        <v>62.806089224556736</v>
      </c>
      <c r="I68" s="342">
        <f>GETPIVOTDATA("Suma de TOTAL Z4",'[1]tabla dinámica IO men'!$A$2,"MES","2","AÑO",2006)</f>
        <v>68.800524291349191</v>
      </c>
      <c r="J68" s="342">
        <f>GETPIVOTDATA("Suma de TOTAL hotelero",'[1]tabla dinámica IO men'!$A$2,"MES","2","AÑO",2006)</f>
        <v>75.305390782328345</v>
      </c>
      <c r="K68" s="342">
        <f>GETPIVOTDATA("Suma de extrahoteleros",'[1]tabla dinámica IO men'!$A$2,"MES","2","AÑO",2006)</f>
        <v>63.72165018613898</v>
      </c>
      <c r="L68" s="342">
        <f>GETPIVOTDATA("Suma de TOTAL general",'[1]tabla dinámica IO men'!$A$2,"MES","2","AÑO",2006)</f>
        <v>69.118109974353345</v>
      </c>
    </row>
    <row r="69" spans="3:12" hidden="1" outlineLevel="1">
      <c r="C69" s="51" t="s">
        <v>48</v>
      </c>
      <c r="D69" s="342">
        <f>GETPIVOTDATA("dato",'[1]tabla dinámica IO men'!$A$96,"categoría","Hoteleros","mes",1,"año",2006)</f>
        <v>80.510000000000005</v>
      </c>
      <c r="E69" s="342">
        <f>GETPIVOTDATA("dato",'[1]tabla dinámica IO men'!$A$96,"categoría","extrahoteleros","mes",1,"año",2006)</f>
        <v>58.6</v>
      </c>
      <c r="F69" s="342">
        <f>GETPIVOTDATA("dato",'[1]tabla dinámica IO men'!$A$96,"categoría","total","mes",1,"año",2006)</f>
        <v>69.849999999999994</v>
      </c>
      <c r="G69" s="342">
        <f>GETPIVOTDATA("Suma de hotel Z4",'[1]tabla dinámica IO men'!$A$2,"MES","1","AÑO",2006)</f>
        <v>77.276415649711225</v>
      </c>
      <c r="H69" s="342">
        <f>GETPIVOTDATA("Suma de extra-h Z4",'[1]tabla dinámica IO men'!$A$2,"MES","1","AÑO",2006)</f>
        <v>58.550503298006255</v>
      </c>
      <c r="I69" s="342">
        <f>GETPIVOTDATA("Suma de TOTAL Z4",'[1]tabla dinámica IO men'!$A$2,"MES","1","AÑO",2006)</f>
        <v>66.62419437821211</v>
      </c>
      <c r="J69" s="342">
        <f>GETPIVOTDATA("Suma de TOTAL hotelero",'[1]tabla dinámica IO men'!$A$2,"MES","1","AÑO",2006)</f>
        <v>72.924878885586196</v>
      </c>
      <c r="K69" s="342">
        <f>GETPIVOTDATA("Suma de extrahoteleros",'[1]tabla dinámica IO men'!$A$2,"MES","1","AÑO",2006)</f>
        <v>59.413443960935503</v>
      </c>
      <c r="L69" s="342">
        <f>GETPIVOTDATA("Suma de TOTAL general",'[1]tabla dinámica IO men'!$A$2,"MES","1","AÑO",2006)</f>
        <v>65.707949146586728</v>
      </c>
    </row>
    <row r="70" spans="3:12" collapsed="1">
      <c r="C70" s="58">
        <v>2006</v>
      </c>
      <c r="D70" s="346">
        <f>'[1]tabla dinámica IO men'!B509</f>
        <v>78.646931153423935</v>
      </c>
      <c r="E70" s="346">
        <f>'[1]tabla dinámica IO men'!B508</f>
        <v>54.79180646418159</v>
      </c>
      <c r="F70" s="346">
        <f>'[1]tabla dinámica IO men'!B510</f>
        <v>67.06123848158623</v>
      </c>
      <c r="G70" s="346">
        <f>GETPIVOTDATA("Suma de hotel Z4",'[1]tabla dinámica IO men'!$A$201,"MES","12","AÑO",2006)</f>
        <v>76.776769699073569</v>
      </c>
      <c r="H70" s="346">
        <f>GETPIVOTDATA("Suma de extra-h Z4",'[1]tabla dinámica IO men'!$A$201,"MES","12","AÑO",2006)</f>
        <v>56.803043949138441</v>
      </c>
      <c r="I70" s="346">
        <f>GETPIVOTDATA("Suma de TOTAL Z4",'[1]tabla dinámica IO men'!$A$201,"MES","12","AÑO",2006)</f>
        <v>65.42666276733371</v>
      </c>
      <c r="J70" s="346">
        <f>GETPIVOTDATA("Suma de TOTAL hotelero",'[1]tabla dinámica IO men'!$A$201,"MES","12","AÑO",2006)</f>
        <v>74.352968763711189</v>
      </c>
      <c r="K70" s="346">
        <f>GETPIVOTDATA("Suma de extrahoteleros",'[1]tabla dinámica IO men'!$A$201,"MES","12","AÑO",2006)</f>
        <v>56.911900920105744</v>
      </c>
      <c r="L70" s="346">
        <f>GETPIVOTDATA("Suma de TOTAL general",'[1]tabla dinámica IO men'!$A$201,"MES","12","AÑO",2006)</f>
        <v>65.044807541401354</v>
      </c>
    </row>
    <row r="71" spans="3:12" ht="15" customHeight="1">
      <c r="C71" s="136" t="s">
        <v>77</v>
      </c>
      <c r="D71" s="137"/>
      <c r="E71" s="137"/>
      <c r="F71" s="137"/>
      <c r="G71" s="137"/>
      <c r="H71" s="137"/>
      <c r="I71" s="137"/>
      <c r="J71" s="137"/>
      <c r="K71" s="137"/>
      <c r="L71" s="138"/>
    </row>
  </sheetData>
  <mergeCells count="6">
    <mergeCell ref="C3:L3"/>
    <mergeCell ref="C4:C5"/>
    <mergeCell ref="D4:F4"/>
    <mergeCell ref="G4:I4"/>
    <mergeCell ref="J4:L4"/>
    <mergeCell ref="C71:L7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C2:L58"/>
  <sheetViews>
    <sheetView showGridLines="0" showRowColHeaders="0" zoomScaleNormal="100" workbookViewId="0">
      <selection activeCell="B25" sqref="B25"/>
    </sheetView>
  </sheetViews>
  <sheetFormatPr baseColWidth="10" defaultRowHeight="15" outlineLevelRow="1"/>
  <cols>
    <col min="1" max="1" width="14.7109375" style="121" customWidth="1"/>
    <col min="2" max="4" width="11.42578125" style="121"/>
    <col min="5" max="5" width="13.85546875" style="121" customWidth="1"/>
    <col min="6" max="7" width="11.42578125" style="121"/>
    <col min="8" max="8" width="14.140625" style="121" customWidth="1"/>
    <col min="9" max="10" width="11.42578125" style="121"/>
    <col min="11" max="11" width="14.28515625" style="121" customWidth="1"/>
    <col min="12" max="16384" width="11.42578125" style="121"/>
  </cols>
  <sheetData>
    <row r="2" spans="3:12" ht="44.25" customHeight="1"/>
    <row r="3" spans="3:12" ht="27" customHeight="1">
      <c r="C3" s="122" t="s">
        <v>256</v>
      </c>
      <c r="D3" s="122"/>
      <c r="E3" s="122"/>
      <c r="F3" s="122"/>
      <c r="G3" s="122"/>
      <c r="H3" s="122"/>
      <c r="I3" s="122"/>
      <c r="J3" s="122"/>
      <c r="K3" s="122"/>
      <c r="L3" s="122"/>
    </row>
    <row r="4" spans="3:12" ht="15" customHeight="1">
      <c r="C4" s="123"/>
      <c r="D4" s="124" t="s">
        <v>89</v>
      </c>
      <c r="E4" s="125"/>
      <c r="F4" s="125"/>
      <c r="G4" s="124" t="s">
        <v>92</v>
      </c>
      <c r="H4" s="125"/>
      <c r="I4" s="125"/>
      <c r="J4" s="124" t="s">
        <v>93</v>
      </c>
      <c r="K4" s="125"/>
      <c r="L4" s="125"/>
    </row>
    <row r="5" spans="3:12" ht="30">
      <c r="C5" s="127"/>
      <c r="D5" s="128" t="s">
        <v>94</v>
      </c>
      <c r="E5" s="128" t="s">
        <v>95</v>
      </c>
      <c r="F5" s="128" t="s">
        <v>69</v>
      </c>
      <c r="G5" s="128" t="s">
        <v>94</v>
      </c>
      <c r="H5" s="128" t="s">
        <v>95</v>
      </c>
      <c r="I5" s="128" t="s">
        <v>69</v>
      </c>
      <c r="J5" s="128" t="s">
        <v>96</v>
      </c>
      <c r="K5" s="128" t="s">
        <v>95</v>
      </c>
      <c r="L5" s="128" t="s">
        <v>36</v>
      </c>
    </row>
    <row r="6" spans="3:12" hidden="1">
      <c r="C6" s="51" t="s">
        <v>37</v>
      </c>
      <c r="D6" s="167">
        <f>IFERROR('Tablas evol IO zona'!D6/'Tablas evol IO zona'!D19-1,"-")</f>
        <v>-1</v>
      </c>
      <c r="E6" s="167">
        <f>IFERROR('Tablas evol IO zona'!E6/'Tablas evol IO zona'!E19-1,"-")</f>
        <v>-1</v>
      </c>
      <c r="F6" s="167">
        <f>IFERROR('Tablas evol IO zona'!F6/'Tablas evol IO zona'!F19-1,"-")</f>
        <v>-1</v>
      </c>
      <c r="G6" s="167">
        <f>IFERROR('Tablas evol IO zona'!G6/'Tablas evol IO zona'!G19-1,"-")</f>
        <v>-1</v>
      </c>
      <c r="H6" s="167">
        <f>IFERROR('Tablas evol IO zona'!H6/'Tablas evol IO zona'!H19-1,"-")</f>
        <v>-1</v>
      </c>
      <c r="I6" s="167">
        <f>IFERROR('Tablas evol IO zona'!I6/'Tablas evol IO zona'!I19-1,"-")</f>
        <v>-1</v>
      </c>
      <c r="J6" s="167">
        <f>IFERROR('Tablas evol IO zona'!J6/'Tablas evol IO zona'!J19-1,"-")</f>
        <v>-1</v>
      </c>
      <c r="K6" s="167">
        <f>IFERROR('Tablas evol IO zona'!K6/'Tablas evol IO zona'!K19-1,"-")</f>
        <v>-1</v>
      </c>
      <c r="L6" s="167">
        <f>IFERROR('Tablas evol IO zona'!L6/'Tablas evol IO zona'!L19-1,"-")</f>
        <v>-1</v>
      </c>
    </row>
    <row r="7" spans="3:12" hidden="1">
      <c r="C7" s="51" t="s">
        <v>38</v>
      </c>
      <c r="D7" s="167">
        <f>IFERROR('Tablas evol IO zona'!D7/'Tablas evol IO zona'!D20-1,"-")</f>
        <v>-1</v>
      </c>
      <c r="E7" s="167">
        <f>IFERROR('Tablas evol IO zona'!E7/'Tablas evol IO zona'!E20-1,"-")</f>
        <v>-1</v>
      </c>
      <c r="F7" s="167">
        <f>IFERROR('Tablas evol IO zona'!F7/'Tablas evol IO zona'!F20-1,"-")</f>
        <v>-1</v>
      </c>
      <c r="G7" s="167">
        <f>IFERROR('Tablas evol IO zona'!G7/'Tablas evol IO zona'!G20-1,"-")</f>
        <v>-1</v>
      </c>
      <c r="H7" s="167">
        <f>IFERROR('Tablas evol IO zona'!H7/'Tablas evol IO zona'!H20-1,"-")</f>
        <v>-1</v>
      </c>
      <c r="I7" s="167">
        <f>IFERROR('Tablas evol IO zona'!I7/'Tablas evol IO zona'!I20-1,"-")</f>
        <v>-1</v>
      </c>
      <c r="J7" s="167">
        <f>IFERROR('Tablas evol IO zona'!J7/'Tablas evol IO zona'!J20-1,"-")</f>
        <v>-1</v>
      </c>
      <c r="K7" s="167">
        <f>IFERROR('Tablas evol IO zona'!K7/'Tablas evol IO zona'!K20-1,"-")</f>
        <v>-1</v>
      </c>
      <c r="L7" s="167">
        <f>IFERROR('Tablas evol IO zona'!L7/'Tablas evol IO zona'!L20-1,"-")</f>
        <v>-1</v>
      </c>
    </row>
    <row r="8" spans="3:12" hidden="1">
      <c r="C8" s="51" t="s">
        <v>39</v>
      </c>
      <c r="D8" s="167">
        <f>IFERROR('Tablas evol IO zona'!D8/'Tablas evol IO zona'!D21-1,"-")</f>
        <v>-1</v>
      </c>
      <c r="E8" s="167">
        <f>IFERROR('Tablas evol IO zona'!E8/'Tablas evol IO zona'!E21-1,"-")</f>
        <v>-1</v>
      </c>
      <c r="F8" s="167">
        <f>IFERROR('Tablas evol IO zona'!F8/'Tablas evol IO zona'!F21-1,"-")</f>
        <v>-1</v>
      </c>
      <c r="G8" s="167">
        <f>IFERROR('Tablas evol IO zona'!G8/'Tablas evol IO zona'!G21-1,"-")</f>
        <v>-1</v>
      </c>
      <c r="H8" s="167">
        <f>IFERROR('Tablas evol IO zona'!H8/'Tablas evol IO zona'!H21-1,"-")</f>
        <v>-1</v>
      </c>
      <c r="I8" s="167">
        <f>IFERROR('Tablas evol IO zona'!I8/'Tablas evol IO zona'!I21-1,"-")</f>
        <v>-1</v>
      </c>
      <c r="J8" s="167">
        <f>IFERROR('Tablas evol IO zona'!J8/'Tablas evol IO zona'!J21-1,"-")</f>
        <v>-1</v>
      </c>
      <c r="K8" s="167">
        <f>IFERROR('Tablas evol IO zona'!K8/'Tablas evol IO zona'!K21-1,"-")</f>
        <v>-1</v>
      </c>
      <c r="L8" s="167">
        <f>IFERROR('Tablas evol IO zona'!L8/'Tablas evol IO zona'!L21-1,"-")</f>
        <v>-1</v>
      </c>
    </row>
    <row r="9" spans="3:12" hidden="1">
      <c r="C9" s="51" t="s">
        <v>40</v>
      </c>
      <c r="D9" s="167">
        <f>IFERROR('Tablas evol IO zona'!D9/'Tablas evol IO zona'!D22-1,"-")</f>
        <v>-1</v>
      </c>
      <c r="E9" s="167">
        <f>IFERROR('Tablas evol IO zona'!E9/'Tablas evol IO zona'!E22-1,"-")</f>
        <v>-1</v>
      </c>
      <c r="F9" s="167">
        <f>IFERROR('Tablas evol IO zona'!F9/'Tablas evol IO zona'!F22-1,"-")</f>
        <v>-1</v>
      </c>
      <c r="G9" s="167">
        <f>IFERROR('Tablas evol IO zona'!G9/'Tablas evol IO zona'!G22-1,"-")</f>
        <v>-1</v>
      </c>
      <c r="H9" s="167">
        <f>IFERROR('Tablas evol IO zona'!H9/'Tablas evol IO zona'!H22-1,"-")</f>
        <v>-1</v>
      </c>
      <c r="I9" s="167">
        <f>IFERROR('Tablas evol IO zona'!I9/'Tablas evol IO zona'!I22-1,"-")</f>
        <v>-1</v>
      </c>
      <c r="J9" s="167">
        <f>IFERROR('Tablas evol IO zona'!J9/'Tablas evol IO zona'!J22-1,"-")</f>
        <v>-1</v>
      </c>
      <c r="K9" s="167">
        <f>IFERROR('Tablas evol IO zona'!K9/'Tablas evol IO zona'!K22-1,"-")</f>
        <v>-1</v>
      </c>
      <c r="L9" s="167">
        <f>IFERROR('Tablas evol IO zona'!L9/'Tablas evol IO zona'!L22-1,"-")</f>
        <v>-1</v>
      </c>
    </row>
    <row r="10" spans="3:12" hidden="1">
      <c r="C10" s="51" t="s">
        <v>41</v>
      </c>
      <c r="D10" s="167">
        <f>IFERROR('Tablas evol IO zona'!D10/'Tablas evol IO zona'!D23-1,"-")</f>
        <v>-1</v>
      </c>
      <c r="E10" s="167">
        <f>IFERROR('Tablas evol IO zona'!E10/'Tablas evol IO zona'!E23-1,"-")</f>
        <v>-1</v>
      </c>
      <c r="F10" s="167">
        <f>IFERROR('Tablas evol IO zona'!F10/'Tablas evol IO zona'!F23-1,"-")</f>
        <v>-1</v>
      </c>
      <c r="G10" s="167">
        <f>IFERROR('Tablas evol IO zona'!G10/'Tablas evol IO zona'!G23-1,"-")</f>
        <v>-1</v>
      </c>
      <c r="H10" s="167">
        <f>IFERROR('Tablas evol IO zona'!H10/'Tablas evol IO zona'!H23-1,"-")</f>
        <v>-1</v>
      </c>
      <c r="I10" s="167">
        <f>IFERROR('Tablas evol IO zona'!I10/'Tablas evol IO zona'!I23-1,"-")</f>
        <v>-1</v>
      </c>
      <c r="J10" s="167">
        <f>IFERROR('Tablas evol IO zona'!J10/'Tablas evol IO zona'!J23-1,"-")</f>
        <v>-1</v>
      </c>
      <c r="K10" s="167">
        <f>IFERROR('Tablas evol IO zona'!K10/'Tablas evol IO zona'!K23-1,"-")</f>
        <v>-1</v>
      </c>
      <c r="L10" s="167">
        <f>IFERROR('Tablas evol IO zona'!L10/'Tablas evol IO zona'!L23-1,"-")</f>
        <v>-1</v>
      </c>
    </row>
    <row r="11" spans="3:12">
      <c r="C11" s="51" t="s">
        <v>42</v>
      </c>
      <c r="D11" s="167">
        <f>IFERROR('Tablas evol IO zona'!D11/'Tablas evol IO zona'!D24-1,"-")</f>
        <v>8.5053279836484919E-2</v>
      </c>
      <c r="E11" s="167">
        <f>IFERROR('Tablas evol IO zona'!E11/'Tablas evol IO zona'!E24-1,"-")</f>
        <v>0.10740177468325873</v>
      </c>
      <c r="F11" s="167">
        <f>IFERROR('Tablas evol IO zona'!F11/'Tablas evol IO zona'!F24-1,"-")</f>
        <v>9.6075234327134273E-2</v>
      </c>
      <c r="G11" s="167">
        <f>IFERROR('Tablas evol IO zona'!G11/'Tablas evol IO zona'!G24-1,"-")</f>
        <v>8.224367777338526E-2</v>
      </c>
      <c r="H11" s="167">
        <f>IFERROR('Tablas evol IO zona'!H11/'Tablas evol IO zona'!H24-1,"-")</f>
        <v>8.9811372076745055E-2</v>
      </c>
      <c r="I11" s="167">
        <f>IFERROR('Tablas evol IO zona'!I11/'Tablas evol IO zona'!I24-1,"-")</f>
        <v>8.8429343546278183E-2</v>
      </c>
      <c r="J11" s="167">
        <f>IFERROR('Tablas evol IO zona'!J11/'Tablas evol IO zona'!J24-1,"-")</f>
        <v>5.284395530463315E-2</v>
      </c>
      <c r="K11" s="167">
        <f>IFERROR('Tablas evol IO zona'!K11/'Tablas evol IO zona'!K24-1,"-")</f>
        <v>6.9357846400430079E-2</v>
      </c>
      <c r="L11" s="167">
        <f>IFERROR('Tablas evol IO zona'!L11/'Tablas evol IO zona'!L24-1,"-")</f>
        <v>6.3081132242310378E-2</v>
      </c>
    </row>
    <row r="12" spans="3:12">
      <c r="C12" s="51" t="s">
        <v>43</v>
      </c>
      <c r="D12" s="167">
        <f>IFERROR('Tablas evol IO zona'!D12/'Tablas evol IO zona'!D25-1,"-")</f>
        <v>8.5214112843455592E-2</v>
      </c>
      <c r="E12" s="167">
        <f>IFERROR('Tablas evol IO zona'!E12/'Tablas evol IO zona'!E25-1,"-")</f>
        <v>2.291061666868166E-2</v>
      </c>
      <c r="F12" s="167">
        <f>IFERROR('Tablas evol IO zona'!F12/'Tablas evol IO zona'!F25-1,"-")</f>
        <v>6.2154692517966126E-2</v>
      </c>
      <c r="G12" s="167">
        <f>IFERROR('Tablas evol IO zona'!G12/'Tablas evol IO zona'!G25-1,"-")</f>
        <v>6.2211890206407272E-2</v>
      </c>
      <c r="H12" s="167">
        <f>IFERROR('Tablas evol IO zona'!H12/'Tablas evol IO zona'!H25-1,"-")</f>
        <v>8.7095280645281159E-2</v>
      </c>
      <c r="I12" s="167">
        <f>IFERROR('Tablas evol IO zona'!I12/'Tablas evol IO zona'!I25-1,"-")</f>
        <v>7.5917111704437712E-2</v>
      </c>
      <c r="J12" s="167">
        <f>IFERROR('Tablas evol IO zona'!J12/'Tablas evol IO zona'!J25-1,"-")</f>
        <v>6.9817041760255716E-2</v>
      </c>
      <c r="K12" s="167">
        <f>IFERROR('Tablas evol IO zona'!K12/'Tablas evol IO zona'!K25-1,"-")</f>
        <v>6.9272393104034879E-2</v>
      </c>
      <c r="L12" s="167">
        <f>IFERROR('Tablas evol IO zona'!L12/'Tablas evol IO zona'!L25-1,"-")</f>
        <v>7.3443333386952414E-2</v>
      </c>
    </row>
    <row r="13" spans="3:12">
      <c r="C13" s="51" t="s">
        <v>44</v>
      </c>
      <c r="D13" s="167">
        <f>IFERROR('Tablas evol IO zona'!D13/'Tablas evol IO zona'!D26-1,"-")</f>
        <v>0.11812572609000127</v>
      </c>
      <c r="E13" s="167">
        <f>IFERROR('Tablas evol IO zona'!E13/'Tablas evol IO zona'!E26-1,"-")</f>
        <v>4.1323341165039329E-2</v>
      </c>
      <c r="F13" s="167">
        <f>IFERROR('Tablas evol IO zona'!F13/'Tablas evol IO zona'!F26-1,"-")</f>
        <v>9.0813748121088889E-2</v>
      </c>
      <c r="G13" s="167">
        <f>IFERROR('Tablas evol IO zona'!G13/'Tablas evol IO zona'!G26-1,"-")</f>
        <v>8.0990868843920039E-2</v>
      </c>
      <c r="H13" s="167">
        <f>IFERROR('Tablas evol IO zona'!H13/'Tablas evol IO zona'!H26-1,"-")</f>
        <v>3.7426559641114299E-2</v>
      </c>
      <c r="I13" s="167">
        <f>IFERROR('Tablas evol IO zona'!I13/'Tablas evol IO zona'!I26-1,"-")</f>
        <v>6.5398891136903448E-2</v>
      </c>
      <c r="J13" s="167">
        <f>IFERROR('Tablas evol IO zona'!J13/'Tablas evol IO zona'!J26-1,"-")</f>
        <v>6.9007013858599642E-2</v>
      </c>
      <c r="K13" s="167">
        <f>IFERROR('Tablas evol IO zona'!K13/'Tablas evol IO zona'!K26-1,"-")</f>
        <v>1.5306304370241497E-2</v>
      </c>
      <c r="L13" s="167">
        <f>IFERROR('Tablas evol IO zona'!L13/'Tablas evol IO zona'!L26-1,"-")</f>
        <v>5.1243076318947756E-2</v>
      </c>
    </row>
    <row r="14" spans="3:12">
      <c r="C14" s="51" t="s">
        <v>45</v>
      </c>
      <c r="D14" s="167">
        <f>IFERROR('Tablas evol IO zona'!D14/'Tablas evol IO zona'!D27-1,"-")</f>
        <v>3.4447052130875511E-2</v>
      </c>
      <c r="E14" s="167">
        <f>IFERROR('Tablas evol IO zona'!E14/'Tablas evol IO zona'!E27-1,"-")</f>
        <v>-6.7286504364131194E-2</v>
      </c>
      <c r="F14" s="167">
        <f>IFERROR('Tablas evol IO zona'!F14/'Tablas evol IO zona'!F27-1,"-")</f>
        <v>-4.5498430163541936E-3</v>
      </c>
      <c r="G14" s="167">
        <f>IFERROR('Tablas evol IO zona'!G14/'Tablas evol IO zona'!G27-1,"-")</f>
        <v>6.7404001555686488E-3</v>
      </c>
      <c r="H14" s="167">
        <f>IFERROR('Tablas evol IO zona'!H14/'Tablas evol IO zona'!H27-1,"-")</f>
        <v>-6.0466198018886863E-2</v>
      </c>
      <c r="I14" s="167">
        <f>IFERROR('Tablas evol IO zona'!I14/'Tablas evol IO zona'!I27-1,"-")</f>
        <v>-2.1736237390785118E-2</v>
      </c>
      <c r="J14" s="167">
        <f>IFERROR('Tablas evol IO zona'!J14/'Tablas evol IO zona'!J27-1,"-")</f>
        <v>-2.6782142167815937E-2</v>
      </c>
      <c r="K14" s="167">
        <f>IFERROR('Tablas evol IO zona'!K14/'Tablas evol IO zona'!K27-1,"-")</f>
        <v>-6.4336561498255285E-2</v>
      </c>
      <c r="L14" s="167">
        <f>IFERROR('Tablas evol IO zona'!L14/'Tablas evol IO zona'!L27-1,"-")</f>
        <v>-3.9832716267403034E-2</v>
      </c>
    </row>
    <row r="15" spans="3:12">
      <c r="C15" s="51" t="s">
        <v>46</v>
      </c>
      <c r="D15" s="167">
        <f>IFERROR('Tablas evol IO zona'!D15/'Tablas evol IO zona'!D28-1,"-")</f>
        <v>4.1135732119994106E-2</v>
      </c>
      <c r="E15" s="167">
        <f>IFERROR('Tablas evol IO zona'!E15/'Tablas evol IO zona'!E28-1,"-")</f>
        <v>-2.2691017488102205E-2</v>
      </c>
      <c r="F15" s="167">
        <f>IFERROR('Tablas evol IO zona'!F15/'Tablas evol IO zona'!F28-1,"-")</f>
        <v>1.5190521985146921E-2</v>
      </c>
      <c r="G15" s="167">
        <f>IFERROR('Tablas evol IO zona'!G15/'Tablas evol IO zona'!G28-1,"-")</f>
        <v>5.6020295190285285E-2</v>
      </c>
      <c r="H15" s="167">
        <f>IFERROR('Tablas evol IO zona'!H15/'Tablas evol IO zona'!H28-1,"-")</f>
        <v>-1.6792015344567757E-2</v>
      </c>
      <c r="I15" s="167">
        <f>IFERROR('Tablas evol IO zona'!I15/'Tablas evol IO zona'!I28-1,"-")</f>
        <v>2.1223507066731928E-2</v>
      </c>
      <c r="J15" s="167">
        <f>IFERROR('Tablas evol IO zona'!J15/'Tablas evol IO zona'!J28-1,"-")</f>
        <v>2.766340058406902E-2</v>
      </c>
      <c r="K15" s="167">
        <f>IFERROR('Tablas evol IO zona'!K15/'Tablas evol IO zona'!K28-1,"-")</f>
        <v>-3.0716250176164528E-2</v>
      </c>
      <c r="L15" s="167">
        <f>IFERROR('Tablas evol IO zona'!L15/'Tablas evol IO zona'!L28-1,"-")</f>
        <v>2.2417830811127804E-3</v>
      </c>
    </row>
    <row r="16" spans="3:12">
      <c r="C16" s="51" t="s">
        <v>47</v>
      </c>
      <c r="D16" s="167">
        <f>IFERROR('Tablas evol IO zona'!D16/'Tablas evol IO zona'!D29-1,"-")</f>
        <v>3.9644366710392065E-2</v>
      </c>
      <c r="E16" s="167">
        <f>IFERROR('Tablas evol IO zona'!E16/'Tablas evol IO zona'!E29-1,"-")</f>
        <v>-3.9101819589624442E-2</v>
      </c>
      <c r="F16" s="167">
        <f>IFERROR('Tablas evol IO zona'!F16/'Tablas evol IO zona'!F29-1,"-")</f>
        <v>7.1133167907362349E-3</v>
      </c>
      <c r="G16" s="167">
        <f>IFERROR('Tablas evol IO zona'!G16/'Tablas evol IO zona'!G29-1,"-")</f>
        <v>2.297551575915624E-2</v>
      </c>
      <c r="H16" s="167">
        <f>IFERROR('Tablas evol IO zona'!H16/'Tablas evol IO zona'!H29-1,"-")</f>
        <v>-2.3647062622966342E-2</v>
      </c>
      <c r="I16" s="167">
        <f>IFERROR('Tablas evol IO zona'!I16/'Tablas evol IO zona'!I29-1,"-")</f>
        <v>1.3288977782495159E-3</v>
      </c>
      <c r="J16" s="167">
        <f>IFERROR('Tablas evol IO zona'!J16/'Tablas evol IO zona'!J29-1,"-")</f>
        <v>3.2201918099518112E-2</v>
      </c>
      <c r="K16" s="167">
        <f>IFERROR('Tablas evol IO zona'!K16/'Tablas evol IO zona'!K29-1,"-")</f>
        <v>-3.2014192254732565E-2</v>
      </c>
      <c r="L16" s="167">
        <f>IFERROR('Tablas evol IO zona'!L16/'Tablas evol IO zona'!L29-1,"-")</f>
        <v>4.05339196311294E-3</v>
      </c>
    </row>
    <row r="17" spans="3:12">
      <c r="C17" s="51" t="s">
        <v>48</v>
      </c>
      <c r="D17" s="167">
        <f>IFERROR('Tablas evol IO zona'!D17/'Tablas evol IO zona'!D30-1,"-")</f>
        <v>-1.1650758001122918E-2</v>
      </c>
      <c r="E17" s="167">
        <f>IFERROR('Tablas evol IO zona'!E17/'Tablas evol IO zona'!E30-1,"-")</f>
        <v>-6.7685589519650757E-2</v>
      </c>
      <c r="F17" s="167">
        <f>IFERROR('Tablas evol IO zona'!F17/'Tablas evol IO zona'!F30-1,"-")</f>
        <v>-3.4150326797385722E-2</v>
      </c>
      <c r="G17" s="167">
        <f>IFERROR('Tablas evol IO zona'!G17/'Tablas evol IO zona'!G30-1,"-")</f>
        <v>-1.2898705787596443E-2</v>
      </c>
      <c r="H17" s="167">
        <f>IFERROR('Tablas evol IO zona'!H17/'Tablas evol IO zona'!H30-1,"-")</f>
        <v>-2.8852217384618295E-2</v>
      </c>
      <c r="I17" s="167">
        <f>IFERROR('Tablas evol IO zona'!I17/'Tablas evol IO zona'!I30-1,"-")</f>
        <v>-1.8954611477481453E-2</v>
      </c>
      <c r="J17" s="167">
        <f>IFERROR('Tablas evol IO zona'!J17/'Tablas evol IO zona'!J30-1,"-")</f>
        <v>-7.0077411458493444E-3</v>
      </c>
      <c r="K17" s="167">
        <f>IFERROR('Tablas evol IO zona'!K17/'Tablas evol IO zona'!K30-1,"-")</f>
        <v>-4.5185692372421538E-2</v>
      </c>
      <c r="L17" s="167">
        <f>IFERROR('Tablas evol IO zona'!L17/'Tablas evol IO zona'!L30-1,"-")</f>
        <v>-2.2362553070906399E-2</v>
      </c>
    </row>
    <row r="18" spans="3:12" ht="30">
      <c r="C18" s="69" t="s">
        <v>54</v>
      </c>
      <c r="D18" s="168">
        <f>'[1]tabla dinámica municipios'!$T$311/'[1]tabla dinámica municipios'!$J$311-1</f>
        <v>5.4381515646208634E-2</v>
      </c>
      <c r="E18" s="168">
        <f>'[1]tabla dinámica municipios'!$S$311/'[1]tabla dinámica municipios'!$I$311-1</f>
        <v>-7.2290067723022045E-3</v>
      </c>
      <c r="F18" s="168">
        <f>'[1]tabla dinámica municipios'!$U$311/'[1]tabla dinámica municipios'!$K$311-1</f>
        <v>3.0948909503155209E-2</v>
      </c>
      <c r="G18" s="168">
        <f>IFERROR(GETPIVOTDATA("Suma de hotel Z4",'[1]tabla dinámica IO men'!$A$201,"MES","6","AÑO",2010)/GETPIVOTDATA("Suma de hotel Z4",'[1]tabla dinámica IO men'!$A$201,"MES","6","AÑO",2009)-1,"-")</f>
        <v>3.3980914914461424E-2</v>
      </c>
      <c r="H18" s="168">
        <f>IFERROR(GETPIVOTDATA("Suma de extra-h Z4",'[1]tabla dinámica IO men'!$A$201,"MES","6","AÑO",2010)/GETPIVOTDATA("Suma de extra-h Z4",'[1]tabla dinámica IO men'!$A$201,"MES","6","AÑO",2009)-1,"-")</f>
        <v>-6.5858043543903788E-3</v>
      </c>
      <c r="I18" s="168">
        <f>IFERROR(GETPIVOTDATA("Suma de TOTAL Z4",'[1]tabla dinámica IO men'!$A$201,"MES","6","AÑO",2010)/GETPIVOTDATA("Suma de TOTAL Z4",'[1]tabla dinámica IO men'!$A$201,"MES","6","AÑO",2009)-1,"-")</f>
        <v>1.7014977677783927E-2</v>
      </c>
      <c r="J18" s="168">
        <f>IFERROR(GETPIVOTDATA("Suma de TOTAL hotelero",'[1]tabla dinámica IO men'!$A$201,"MES","6","AÑO",2010)/GETPIVOTDATA("Suma de TOTAL hotelero",'[1]tabla dinámica IO men'!$A$201,"MES","6","AÑO",2009)-1,"-")</f>
        <v>2.5169370758582499E-2</v>
      </c>
      <c r="K18" s="168">
        <f>IFERROR(GETPIVOTDATA("Suma de extrahoteleros",'[1]tabla dinámica IO men'!$A$201,"MES","6","AÑO",2010)/GETPIVOTDATA("Suma de extrahoteleros",'[1]tabla dinámica IO men'!$A$201,"MES","6","AÑO",2009)-1,"-")</f>
        <v>-1.9874951361844029E-2</v>
      </c>
      <c r="L18" s="168">
        <f>IFERROR(GETPIVOTDATA("Suma de TOTAL general",'[1]tabla dinámica IO men'!$A$201,"MES","6","AÑO",2010)/GETPIVOTDATA("Suma de TOTAL general",'[1]tabla dinámica IO men'!$A$201,"MES","6","AÑO",2009)-1,"-")</f>
        <v>7.8924504944080098E-3</v>
      </c>
    </row>
    <row r="19" spans="3:12" hidden="1" outlineLevel="1">
      <c r="C19" s="51" t="s">
        <v>37</v>
      </c>
      <c r="D19" s="167">
        <f>IFERROR('Tablas evol IO zona'!D19/'Tablas evol IO zona'!D32-1,"-")</f>
        <v>-6.1247500778932151E-2</v>
      </c>
      <c r="E19" s="167">
        <f>IFERROR('Tablas evol IO zona'!E19/'Tablas evol IO zona'!E32-1,"-")</f>
        <v>-8.0578274316064125E-2</v>
      </c>
      <c r="F19" s="167">
        <f>IFERROR('Tablas evol IO zona'!F19/'Tablas evol IO zona'!F32-1,"-")</f>
        <v>-6.8292195683688162E-2</v>
      </c>
      <c r="G19" s="167">
        <f>IFERROR('Tablas evol IO zona'!G19/'Tablas evol IO zona'!G32-1,"-")</f>
        <v>-6.8257901153216283E-2</v>
      </c>
      <c r="H19" s="167">
        <f>IFERROR('Tablas evol IO zona'!H19/'Tablas evol IO zona'!H32-1,"-")</f>
        <v>-8.5509419555248822E-2</v>
      </c>
      <c r="I19" s="167">
        <f>IFERROR('Tablas evol IO zona'!I19/'Tablas evol IO zona'!I32-1,"-")</f>
        <v>-7.5266169844638076E-2</v>
      </c>
      <c r="J19" s="167">
        <f>IFERROR('Tablas evol IO zona'!J19/'Tablas evol IO zona'!J32-1,"-")</f>
        <v>-6.0628297604490511E-2</v>
      </c>
      <c r="K19" s="167">
        <f>IFERROR('Tablas evol IO zona'!K19/'Tablas evol IO zona'!K32-1,"-")</f>
        <v>-9.6751631345300404E-2</v>
      </c>
      <c r="L19" s="167">
        <f>IFERROR('Tablas evol IO zona'!L19/'Tablas evol IO zona'!L32-1,"-")</f>
        <v>-7.6514199942942507E-2</v>
      </c>
    </row>
    <row r="20" spans="3:12" hidden="1" outlineLevel="1">
      <c r="C20" s="51" t="s">
        <v>38</v>
      </c>
      <c r="D20" s="167">
        <f>IFERROR('Tablas evol IO zona'!D20/'Tablas evol IO zona'!D33-1,"-")</f>
        <v>-6.8582571376591406E-2</v>
      </c>
      <c r="E20" s="167">
        <f>IFERROR('Tablas evol IO zona'!E20/'Tablas evol IO zona'!E33-1,"-")</f>
        <v>-6.9150226183242069E-2</v>
      </c>
      <c r="F20" s="167">
        <f>IFERROR('Tablas evol IO zona'!F20/'Tablas evol IO zona'!F33-1,"-")</f>
        <v>-6.8118179876104357E-2</v>
      </c>
      <c r="G20" s="167">
        <f>IFERROR('Tablas evol IO zona'!G20/'Tablas evol IO zona'!G33-1,"-")</f>
        <v>-6.3967992837414167E-2</v>
      </c>
      <c r="H20" s="167">
        <f>IFERROR('Tablas evol IO zona'!H20/'Tablas evol IO zona'!H33-1,"-")</f>
        <v>-0.12422671624116166</v>
      </c>
      <c r="I20" s="167">
        <f>IFERROR('Tablas evol IO zona'!I20/'Tablas evol IO zona'!I33-1,"-")</f>
        <v>-9.1838320741044477E-2</v>
      </c>
      <c r="J20" s="167">
        <f>IFERROR('Tablas evol IO zona'!J20/'Tablas evol IO zona'!J33-1,"-")</f>
        <v>-6.2358975251137649E-2</v>
      </c>
      <c r="K20" s="167">
        <f>IFERROR('Tablas evol IO zona'!K20/'Tablas evol IO zona'!K33-1,"-")</f>
        <v>-0.1351318529536264</v>
      </c>
      <c r="L20" s="167">
        <f>IFERROR('Tablas evol IO zona'!L20/'Tablas evol IO zona'!L33-1,"-")</f>
        <v>-9.5231853005462996E-2</v>
      </c>
    </row>
    <row r="21" spans="3:12" hidden="1" outlineLevel="1">
      <c r="C21" s="51" t="s">
        <v>39</v>
      </c>
      <c r="D21" s="167">
        <f>IFERROR('Tablas evol IO zona'!D21/'Tablas evol IO zona'!D34-1,"-")</f>
        <v>-0.11950572708264573</v>
      </c>
      <c r="E21" s="167">
        <f>IFERROR('Tablas evol IO zona'!E21/'Tablas evol IO zona'!E34-1,"-")</f>
        <v>-0.13363141961219882</v>
      </c>
      <c r="F21" s="167">
        <f>IFERROR('Tablas evol IO zona'!F21/'Tablas evol IO zona'!F34-1,"-")</f>
        <v>-0.12384199260595408</v>
      </c>
      <c r="G21" s="167">
        <f>IFERROR('Tablas evol IO zona'!G21/'Tablas evol IO zona'!G34-1,"-")</f>
        <v>-8.0406841338022228E-2</v>
      </c>
      <c r="H21" s="167">
        <f>IFERROR('Tablas evol IO zona'!H21/'Tablas evol IO zona'!H34-1,"-")</f>
        <v>-9.5808787593739786E-2</v>
      </c>
      <c r="I21" s="167">
        <f>IFERROR('Tablas evol IO zona'!I21/'Tablas evol IO zona'!I34-1,"-")</f>
        <v>-8.551489432617454E-2</v>
      </c>
      <c r="J21" s="167">
        <f>IFERROR('Tablas evol IO zona'!J21/'Tablas evol IO zona'!J34-1,"-")</f>
        <v>-9.6925539197951327E-2</v>
      </c>
      <c r="K21" s="167">
        <f>IFERROR('Tablas evol IO zona'!K21/'Tablas evol IO zona'!K34-1,"-")</f>
        <v>-0.11182092508637309</v>
      </c>
      <c r="L21" s="167">
        <f>IFERROR('Tablas evol IO zona'!L21/'Tablas evol IO zona'!L34-1,"-")</f>
        <v>-0.10228116041542146</v>
      </c>
    </row>
    <row r="22" spans="3:12" hidden="1" outlineLevel="1">
      <c r="C22" s="51" t="s">
        <v>40</v>
      </c>
      <c r="D22" s="167">
        <f>IFERROR('Tablas evol IO zona'!D22/'Tablas evol IO zona'!D35-1,"-")</f>
        <v>-0.11094614657848556</v>
      </c>
      <c r="E22" s="167">
        <f>IFERROR('Tablas evol IO zona'!E22/'Tablas evol IO zona'!E35-1,"-")</f>
        <v>-5.4459883460331704E-2</v>
      </c>
      <c r="F22" s="167">
        <f>IFERROR('Tablas evol IO zona'!F22/'Tablas evol IO zona'!F35-1,"-")</f>
        <v>-8.9784317003845593E-2</v>
      </c>
      <c r="G22" s="167">
        <f>IFERROR('Tablas evol IO zona'!G22/'Tablas evol IO zona'!G35-1,"-")</f>
        <v>-8.9685384300182025E-2</v>
      </c>
      <c r="H22" s="167">
        <f>IFERROR('Tablas evol IO zona'!H22/'Tablas evol IO zona'!H35-1,"-")</f>
        <v>-5.7563226648642662E-2</v>
      </c>
      <c r="I22" s="167">
        <f>IFERROR('Tablas evol IO zona'!I22/'Tablas evol IO zona'!I35-1,"-")</f>
        <v>-7.3194723060398204E-2</v>
      </c>
      <c r="J22" s="167">
        <f>IFERROR('Tablas evol IO zona'!J22/'Tablas evol IO zona'!J35-1,"-")</f>
        <v>-0.10530589180506589</v>
      </c>
      <c r="K22" s="167">
        <f>IFERROR('Tablas evol IO zona'!K22/'Tablas evol IO zona'!K35-1,"-")</f>
        <v>-8.7214623177495842E-2</v>
      </c>
      <c r="L22" s="167">
        <f>IFERROR('Tablas evol IO zona'!L22/'Tablas evol IO zona'!L35-1,"-")</f>
        <v>-9.6216339181741883E-2</v>
      </c>
    </row>
    <row r="23" spans="3:12" hidden="1" outlineLevel="1">
      <c r="C23" s="51" t="s">
        <v>41</v>
      </c>
      <c r="D23" s="167">
        <f>IFERROR('Tablas evol IO zona'!D23/'Tablas evol IO zona'!D36-1,"-")</f>
        <v>-0.10823136818687429</v>
      </c>
      <c r="E23" s="167">
        <f>IFERROR('Tablas evol IO zona'!E23/'Tablas evol IO zona'!E36-1,"-")</f>
        <v>-9.7908597986057333E-2</v>
      </c>
      <c r="F23" s="167">
        <f>IFERROR('Tablas evol IO zona'!F23/'Tablas evol IO zona'!F36-1,"-")</f>
        <v>-0.10346604818966632</v>
      </c>
      <c r="G23" s="167">
        <f>IFERROR('Tablas evol IO zona'!G23/'Tablas evol IO zona'!G36-1,"-")</f>
        <v>-9.9899407553635133E-2</v>
      </c>
      <c r="H23" s="167">
        <f>IFERROR('Tablas evol IO zona'!H23/'Tablas evol IO zona'!H36-1,"-")</f>
        <v>-8.9583833678112623E-2</v>
      </c>
      <c r="I23" s="167">
        <f>IFERROR('Tablas evol IO zona'!I23/'Tablas evol IO zona'!I36-1,"-")</f>
        <v>-9.3448015146461838E-2</v>
      </c>
      <c r="J23" s="167">
        <f>IFERROR('Tablas evol IO zona'!J23/'Tablas evol IO zona'!J36-1,"-")</f>
        <v>-0.1121541633274602</v>
      </c>
      <c r="K23" s="167">
        <f>IFERROR('Tablas evol IO zona'!K23/'Tablas evol IO zona'!K36-1,"-")</f>
        <v>-0.12720596534062967</v>
      </c>
      <c r="L23" s="167">
        <f>IFERROR('Tablas evol IO zona'!L23/'Tablas evol IO zona'!L36-1,"-")</f>
        <v>-0.11812677448346953</v>
      </c>
    </row>
    <row r="24" spans="3:12" hidden="1" outlineLevel="1">
      <c r="C24" s="51" t="s">
        <v>42</v>
      </c>
      <c r="D24" s="167">
        <f>IFERROR('Tablas evol IO zona'!D24/'Tablas evol IO zona'!D37-1,"-")</f>
        <v>-0.14679211063250963</v>
      </c>
      <c r="E24" s="167">
        <f>IFERROR('Tablas evol IO zona'!E24/'Tablas evol IO zona'!E37-1,"-")</f>
        <v>-0.17385083169379356</v>
      </c>
      <c r="F24" s="167">
        <f>IFERROR('Tablas evol IO zona'!F24/'Tablas evol IO zona'!F37-1,"-")</f>
        <v>-0.1560088202866593</v>
      </c>
      <c r="G24" s="167">
        <f>IFERROR('Tablas evol IO zona'!G24/'Tablas evol IO zona'!G37-1,"-")</f>
        <v>-0.12546464303186489</v>
      </c>
      <c r="H24" s="167">
        <f>IFERROR('Tablas evol IO zona'!H24/'Tablas evol IO zona'!H37-1,"-")</f>
        <v>-0.13351212236962995</v>
      </c>
      <c r="I24" s="167">
        <f>IFERROR('Tablas evol IO zona'!I24/'Tablas evol IO zona'!I37-1,"-")</f>
        <v>-0.12728821600960494</v>
      </c>
      <c r="J24" s="167">
        <f>IFERROR('Tablas evol IO zona'!J24/'Tablas evol IO zona'!J37-1,"-")</f>
        <v>-0.13501929437830051</v>
      </c>
      <c r="K24" s="167">
        <f>IFERROR('Tablas evol IO zona'!K24/'Tablas evol IO zona'!K37-1,"-")</f>
        <v>-0.1521213939758681</v>
      </c>
      <c r="L24" s="167">
        <f>IFERROR('Tablas evol IO zona'!L24/'Tablas evol IO zona'!L37-1,"-")</f>
        <v>-0.14143615653805086</v>
      </c>
    </row>
    <row r="25" spans="3:12" hidden="1" outlineLevel="1">
      <c r="C25" s="51" t="s">
        <v>43</v>
      </c>
      <c r="D25" s="167">
        <f>IFERROR('Tablas evol IO zona'!D25/'Tablas evol IO zona'!D38-1,"-")</f>
        <v>-0.174341926918399</v>
      </c>
      <c r="E25" s="167">
        <f>IFERROR('Tablas evol IO zona'!E25/'Tablas evol IO zona'!E38-1,"-")</f>
        <v>-0.18400830040811023</v>
      </c>
      <c r="F25" s="167">
        <f>IFERROR('Tablas evol IO zona'!F25/'Tablas evol IO zona'!F38-1,"-")</f>
        <v>-0.17789261476041629</v>
      </c>
      <c r="G25" s="167">
        <f>IFERROR('Tablas evol IO zona'!G25/'Tablas evol IO zona'!G38-1,"-")</f>
        <v>-0.1528211319123548</v>
      </c>
      <c r="H25" s="167">
        <f>IFERROR('Tablas evol IO zona'!H25/'Tablas evol IO zona'!H38-1,"-")</f>
        <v>-0.18529471824943811</v>
      </c>
      <c r="I25" s="167">
        <f>IFERROR('Tablas evol IO zona'!I25/'Tablas evol IO zona'!I38-1,"-")</f>
        <v>-0.16382364934538762</v>
      </c>
      <c r="J25" s="167">
        <f>IFERROR('Tablas evol IO zona'!J25/'Tablas evol IO zona'!J38-1,"-")</f>
        <v>-0.15316143787072856</v>
      </c>
      <c r="K25" s="167">
        <f>IFERROR('Tablas evol IO zona'!K25/'Tablas evol IO zona'!K38-1,"-")</f>
        <v>-0.18639408255965206</v>
      </c>
      <c r="L25" s="167">
        <f>IFERROR('Tablas evol IO zona'!L25/'Tablas evol IO zona'!L38-1,"-")</f>
        <v>-0.16609189311090755</v>
      </c>
    </row>
    <row r="26" spans="3:12" hidden="1" outlineLevel="1">
      <c r="C26" s="51" t="s">
        <v>44</v>
      </c>
      <c r="D26" s="167">
        <f>IFERROR('Tablas evol IO zona'!D26/'Tablas evol IO zona'!D39-1,"-")</f>
        <v>-0.2123705490140444</v>
      </c>
      <c r="E26" s="167">
        <f>IFERROR('Tablas evol IO zona'!E26/'Tablas evol IO zona'!E39-1,"-")</f>
        <v>-0.24464618249534442</v>
      </c>
      <c r="F26" s="167">
        <f>IFERROR('Tablas evol IO zona'!F26/'Tablas evol IO zona'!F39-1,"-")</f>
        <v>-0.22400838720950556</v>
      </c>
      <c r="G26" s="167">
        <f>IFERROR('Tablas evol IO zona'!G26/'Tablas evol IO zona'!G39-1,"-")</f>
        <v>-0.18380066764849345</v>
      </c>
      <c r="H26" s="167">
        <f>IFERROR('Tablas evol IO zona'!H26/'Tablas evol IO zona'!H39-1,"-")</f>
        <v>-0.16472219329725091</v>
      </c>
      <c r="I26" s="167">
        <f>IFERROR('Tablas evol IO zona'!I26/'Tablas evol IO zona'!I39-1,"-")</f>
        <v>-0.17152351788101505</v>
      </c>
      <c r="J26" s="167">
        <f>IFERROR('Tablas evol IO zona'!J26/'Tablas evol IO zona'!J39-1,"-")</f>
        <v>-0.18201943100019602</v>
      </c>
      <c r="K26" s="167">
        <f>IFERROR('Tablas evol IO zona'!K26/'Tablas evol IO zona'!K39-1,"-")</f>
        <v>-0.18558229154173478</v>
      </c>
      <c r="L26" s="167">
        <f>IFERROR('Tablas evol IO zona'!L26/'Tablas evol IO zona'!L39-1,"-")</f>
        <v>-0.18192074877661413</v>
      </c>
    </row>
    <row r="27" spans="3:12" hidden="1" outlineLevel="1">
      <c r="C27" s="51" t="s">
        <v>45</v>
      </c>
      <c r="D27" s="167">
        <f>IFERROR('Tablas evol IO zona'!D27/'Tablas evol IO zona'!D40-1,"-")</f>
        <v>-0.16692407327581427</v>
      </c>
      <c r="E27" s="167">
        <f>IFERROR('Tablas evol IO zona'!E27/'Tablas evol IO zona'!E40-1,"-")</f>
        <v>-8.4134988892481721E-2</v>
      </c>
      <c r="F27" s="167">
        <f>IFERROR('Tablas evol IO zona'!F27/'Tablas evol IO zona'!F40-1,"-")</f>
        <v>-0.13725547858154186</v>
      </c>
      <c r="G27" s="167">
        <f>IFERROR('Tablas evol IO zona'!G27/'Tablas evol IO zona'!G40-1,"-")</f>
        <v>-0.13403269727062561</v>
      </c>
      <c r="H27" s="167">
        <f>IFERROR('Tablas evol IO zona'!H27/'Tablas evol IO zona'!H40-1,"-")</f>
        <v>-8.451861473171729E-2</v>
      </c>
      <c r="I27" s="167">
        <f>IFERROR('Tablas evol IO zona'!I27/'Tablas evol IO zona'!I40-1,"-")</f>
        <v>-0.10813320684872496</v>
      </c>
      <c r="J27" s="167">
        <f>IFERROR('Tablas evol IO zona'!J27/'Tablas evol IO zona'!J40-1,"-")</f>
        <v>-0.14903539746940242</v>
      </c>
      <c r="K27" s="167">
        <f>IFERROR('Tablas evol IO zona'!K27/'Tablas evol IO zona'!K40-1,"-")</f>
        <v>-0.11687158638138651</v>
      </c>
      <c r="L27" s="167">
        <f>IFERROR('Tablas evol IO zona'!L27/'Tablas evol IO zona'!L40-1,"-")</f>
        <v>-0.13382983920848956</v>
      </c>
    </row>
    <row r="28" spans="3:12" hidden="1" outlineLevel="1">
      <c r="C28" s="51" t="s">
        <v>46</v>
      </c>
      <c r="D28" s="167">
        <f>IFERROR('Tablas evol IO zona'!D28/'Tablas evol IO zona'!D41-1,"-")</f>
        <v>-0.21818831091536717</v>
      </c>
      <c r="E28" s="167">
        <f>IFERROR('Tablas evol IO zona'!E28/'Tablas evol IO zona'!E41-1,"-")</f>
        <v>-0.1944256756756757</v>
      </c>
      <c r="F28" s="167">
        <f>IFERROR('Tablas evol IO zona'!F28/'Tablas evol IO zona'!F41-1,"-")</f>
        <v>-0.20871495975575904</v>
      </c>
      <c r="G28" s="167">
        <f>IFERROR('Tablas evol IO zona'!G28/'Tablas evol IO zona'!G41-1,"-")</f>
        <v>-0.20524337140252835</v>
      </c>
      <c r="H28" s="167">
        <f>IFERROR('Tablas evol IO zona'!H28/'Tablas evol IO zona'!H41-1,"-")</f>
        <v>-0.1551172111096969</v>
      </c>
      <c r="I28" s="167">
        <f>IFERROR('Tablas evol IO zona'!I28/'Tablas evol IO zona'!I41-1,"-")</f>
        <v>-0.17867950431799218</v>
      </c>
      <c r="J28" s="167">
        <f>IFERROR('Tablas evol IO zona'!J28/'Tablas evol IO zona'!J41-1,"-")</f>
        <v>-0.18518488247492371</v>
      </c>
      <c r="K28" s="167">
        <f>IFERROR('Tablas evol IO zona'!K28/'Tablas evol IO zona'!K41-1,"-")</f>
        <v>-0.16144780441047446</v>
      </c>
      <c r="L28" s="167">
        <f>IFERROR('Tablas evol IO zona'!L28/'Tablas evol IO zona'!L41-1,"-")</f>
        <v>-0.1732634566793938</v>
      </c>
    </row>
    <row r="29" spans="3:12" hidden="1" outlineLevel="1">
      <c r="C29" s="51" t="s">
        <v>47</v>
      </c>
      <c r="D29" s="167">
        <f>IFERROR('Tablas evol IO zona'!D29/'Tablas evol IO zona'!D42-1,"-")</f>
        <v>-0.16237333658893904</v>
      </c>
      <c r="E29" s="167">
        <f>IFERROR('Tablas evol IO zona'!E29/'Tablas evol IO zona'!E42-1,"-")</f>
        <v>-0.1349631614199599</v>
      </c>
      <c r="F29" s="167">
        <f>IFERROR('Tablas evol IO zona'!F29/'Tablas evol IO zona'!F42-1,"-")</f>
        <v>-0.15134072722167624</v>
      </c>
      <c r="G29" s="167">
        <f>IFERROR('Tablas evol IO zona'!G29/'Tablas evol IO zona'!G42-1,"-")</f>
        <v>-0.13955858569681012</v>
      </c>
      <c r="H29" s="167">
        <f>IFERROR('Tablas evol IO zona'!H29/'Tablas evol IO zona'!H42-1,"-")</f>
        <v>-0.13543161480365273</v>
      </c>
      <c r="I29" s="167">
        <f>IFERROR('Tablas evol IO zona'!I29/'Tablas evol IO zona'!I42-1,"-")</f>
        <v>-0.13557253272744962</v>
      </c>
      <c r="J29" s="167">
        <f>IFERROR('Tablas evol IO zona'!J29/'Tablas evol IO zona'!J42-1,"-")</f>
        <v>-0.12626016778099058</v>
      </c>
      <c r="K29" s="167">
        <f>IFERROR('Tablas evol IO zona'!K29/'Tablas evol IO zona'!K42-1,"-")</f>
        <v>-0.1324695898637116</v>
      </c>
      <c r="L29" s="167">
        <f>IFERROR('Tablas evol IO zona'!L29/'Tablas evol IO zona'!L42-1,"-")</f>
        <v>-0.12847181637072957</v>
      </c>
    </row>
    <row r="30" spans="3:12" hidden="1" outlineLevel="1">
      <c r="C30" s="51" t="s">
        <v>48</v>
      </c>
      <c r="D30" s="167">
        <f>IFERROR('Tablas evol IO zona'!D30/'Tablas evol IO zona'!D43-1,"-")</f>
        <v>-0.12049382716049384</v>
      </c>
      <c r="E30" s="167">
        <f>IFERROR('Tablas evol IO zona'!E30/'Tablas evol IO zona'!E43-1,"-")</f>
        <v>-0.10847637586267911</v>
      </c>
      <c r="F30" s="167">
        <f>IFERROR('Tablas evol IO zona'!F30/'Tablas evol IO zona'!F43-1,"-")</f>
        <v>-0.11560693641618491</v>
      </c>
      <c r="G30" s="167">
        <f>IFERROR('Tablas evol IO zona'!G30/'Tablas evol IO zona'!G43-1,"-")</f>
        <v>-0.11780798578005269</v>
      </c>
      <c r="H30" s="167">
        <f>IFERROR('Tablas evol IO zona'!H30/'Tablas evol IO zona'!H43-1,"-")</f>
        <v>-0.10517957127899646</v>
      </c>
      <c r="I30" s="167">
        <f>IFERROR('Tablas evol IO zona'!I30/'Tablas evol IO zona'!I43-1,"-")</f>
        <v>-0.10919064923755251</v>
      </c>
      <c r="J30" s="167">
        <f>IFERROR('Tablas evol IO zona'!J30/'Tablas evol IO zona'!J43-1,"-")</f>
        <v>-9.1391321763707012E-2</v>
      </c>
      <c r="K30" s="167">
        <f>IFERROR('Tablas evol IO zona'!K30/'Tablas evol IO zona'!K43-1,"-")</f>
        <v>-0.10679949884998796</v>
      </c>
      <c r="L30" s="167">
        <f>IFERROR('Tablas evol IO zona'!L30/'Tablas evol IO zona'!L43-1,"-")</f>
        <v>-9.7720527496153009E-2</v>
      </c>
    </row>
    <row r="31" spans="3:12" collapsed="1">
      <c r="C31" s="56">
        <v>2009</v>
      </c>
      <c r="D31" s="169">
        <f>IFERROR('Tablas evol IO zona'!D31/'Tablas evol IO zona'!D44-1,"-")</f>
        <v>-0.13991362724767653</v>
      </c>
      <c r="E31" s="169">
        <f>IFERROR('Tablas evol IO zona'!E31/'Tablas evol IO zona'!E44-1,"-")</f>
        <v>-0.13054044814981269</v>
      </c>
      <c r="F31" s="169">
        <f>IFERROR('Tablas evol IO zona'!F31/'Tablas evol IO zona'!F44-1,"-")</f>
        <v>-0.13599251003488055</v>
      </c>
      <c r="G31" s="169">
        <f>IFERROR('Tablas evol IO zona'!G31/'Tablas evol IO zona'!G44-1,"-")</f>
        <v>-0.12275555379608571</v>
      </c>
      <c r="H31" s="169">
        <f>IFERROR('Tablas evol IO zona'!H31/'Tablas evol IO zona'!H44-1,"-")</f>
        <v>-0.11844592120130726</v>
      </c>
      <c r="I31" s="169">
        <f>IFERROR('Tablas evol IO zona'!I31/'Tablas evol IO zona'!I44-1,"-")</f>
        <v>-0.11841985570198876</v>
      </c>
      <c r="J31" s="169">
        <f>IFERROR('Tablas evol IO zona'!J31/'Tablas evol IO zona'!J44-1,"-")</f>
        <v>-0.12245605032118212</v>
      </c>
      <c r="K31" s="169">
        <f>IFERROR('Tablas evol IO zona'!K31/'Tablas evol IO zona'!K44-1,"-")</f>
        <v>-0.13338158388472598</v>
      </c>
      <c r="L31" s="169">
        <f>IFERROR('Tablas evol IO zona'!L31/'Tablas evol IO zona'!L44-1,"-")</f>
        <v>-0.12627383890505806</v>
      </c>
    </row>
    <row r="32" spans="3:12" hidden="1" outlineLevel="1">
      <c r="C32" s="51" t="s">
        <v>37</v>
      </c>
      <c r="D32" s="167">
        <f>IFERROR('Tablas evol IO zona'!D32/'Tablas evol IO zona'!D45-1,"-")</f>
        <v>-7.0972037283621781E-2</v>
      </c>
      <c r="E32" s="167">
        <f>IFERROR('Tablas evol IO zona'!E32/'Tablas evol IO zona'!E45-1,"-")</f>
        <v>-8.560165196170455E-2</v>
      </c>
      <c r="F32" s="167">
        <f>IFERROR('Tablas evol IO zona'!F32/'Tablas evol IO zona'!F45-1,"-")</f>
        <v>-7.6863474353014105E-2</v>
      </c>
      <c r="G32" s="167">
        <f>IFERROR('Tablas evol IO zona'!G32/'Tablas evol IO zona'!G45-1,"-")</f>
        <v>-7.7224786147641611E-2</v>
      </c>
      <c r="H32" s="167">
        <f>IFERROR('Tablas evol IO zona'!H32/'Tablas evol IO zona'!H45-1,"-")</f>
        <v>-9.5847732731183521E-2</v>
      </c>
      <c r="I32" s="167">
        <f>IFERROR('Tablas evol IO zona'!I32/'Tablas evol IO zona'!I45-1,"-")</f>
        <v>-8.4656036522625433E-2</v>
      </c>
      <c r="J32" s="167">
        <f>IFERROR('Tablas evol IO zona'!J32/'Tablas evol IO zona'!J45-1,"-")</f>
        <v>-6.0315973161212844E-2</v>
      </c>
      <c r="K32" s="167">
        <f>IFERROR('Tablas evol IO zona'!K32/'Tablas evol IO zona'!K45-1,"-")</f>
        <v>-9.7742533972117629E-2</v>
      </c>
      <c r="L32" s="167">
        <f>IFERROR('Tablas evol IO zona'!L32/'Tablas evol IO zona'!L45-1,"-")</f>
        <v>-7.7130545293367381E-2</v>
      </c>
    </row>
    <row r="33" spans="3:12" hidden="1" outlineLevel="1">
      <c r="C33" s="51" t="s">
        <v>38</v>
      </c>
      <c r="D33" s="167">
        <f>IFERROR('Tablas evol IO zona'!D33/'Tablas evol IO zona'!D46-1,"-")</f>
        <v>-5.225000000000013E-2</v>
      </c>
      <c r="E33" s="167">
        <f>IFERROR('Tablas evol IO zona'!E33/'Tablas evol IO zona'!E46-1,"-")</f>
        <v>-0.10040087463556857</v>
      </c>
      <c r="F33" s="167">
        <f>IFERROR('Tablas evol IO zona'!F33/'Tablas evol IO zona'!F46-1,"-")</f>
        <v>-7.1196933962264231E-2</v>
      </c>
      <c r="G33" s="167">
        <f>IFERROR('Tablas evol IO zona'!G33/'Tablas evol IO zona'!G46-1,"-")</f>
        <v>-9.3566999934333372E-2</v>
      </c>
      <c r="H33" s="167">
        <f>IFERROR('Tablas evol IO zona'!H33/'Tablas evol IO zona'!H46-1,"-")</f>
        <v>-6.8112140757898287E-2</v>
      </c>
      <c r="I33" s="167">
        <f>IFERROR('Tablas evol IO zona'!I33/'Tablas evol IO zona'!I46-1,"-")</f>
        <v>-7.9016506701093725E-2</v>
      </c>
      <c r="J33" s="167">
        <f>IFERROR('Tablas evol IO zona'!J33/'Tablas evol IO zona'!J46-1,"-")</f>
        <v>-8.1368039644258761E-2</v>
      </c>
      <c r="K33" s="167">
        <f>IFERROR('Tablas evol IO zona'!K33/'Tablas evol IO zona'!K46-1,"-")</f>
        <v>-6.3835057202440093E-2</v>
      </c>
      <c r="L33" s="167">
        <f>IFERROR('Tablas evol IO zona'!L33/'Tablas evol IO zona'!L46-1,"-")</f>
        <v>-7.1829271559538221E-2</v>
      </c>
    </row>
    <row r="34" spans="3:12" hidden="1" outlineLevel="1">
      <c r="C34" s="51" t="s">
        <v>39</v>
      </c>
      <c r="D34" s="167">
        <f>IFERROR('Tablas evol IO zona'!D34/'Tablas evol IO zona'!D47-1,"-")</f>
        <v>-2.7745959017436594E-2</v>
      </c>
      <c r="E34" s="167">
        <f>IFERROR('Tablas evol IO zona'!E34/'Tablas evol IO zona'!E47-1,"-")</f>
        <v>-6.6078431372548985E-2</v>
      </c>
      <c r="F34" s="167">
        <f>IFERROR('Tablas evol IO zona'!F34/'Tablas evol IO zona'!F47-1,"-")</f>
        <v>-4.2618427104093248E-2</v>
      </c>
      <c r="G34" s="167">
        <f>IFERROR('Tablas evol IO zona'!G34/'Tablas evol IO zona'!G47-1,"-")</f>
        <v>-5.1156381674745344E-2</v>
      </c>
      <c r="H34" s="167">
        <f>IFERROR('Tablas evol IO zona'!H34/'Tablas evol IO zona'!H47-1,"-")</f>
        <v>-6.0569552233932344E-2</v>
      </c>
      <c r="I34" s="167">
        <f>IFERROR('Tablas evol IO zona'!I34/'Tablas evol IO zona'!I47-1,"-")</f>
        <v>-5.2693477845918379E-2</v>
      </c>
      <c r="J34" s="167">
        <f>IFERROR('Tablas evol IO zona'!J34/'Tablas evol IO zona'!J47-1,"-")</f>
        <v>-4.1643478407860757E-2</v>
      </c>
      <c r="K34" s="167">
        <f>IFERROR('Tablas evol IO zona'!K34/'Tablas evol IO zona'!K47-1,"-")</f>
        <v>-6.2080409540705372E-2</v>
      </c>
      <c r="L34" s="167">
        <f>IFERROR('Tablas evol IO zona'!L34/'Tablas evol IO zona'!L47-1,"-")</f>
        <v>-4.9017781936257276E-2</v>
      </c>
    </row>
    <row r="35" spans="3:12" hidden="1" outlineLevel="1">
      <c r="C35" s="51" t="s">
        <v>40</v>
      </c>
      <c r="D35" s="167">
        <f>IFERROR('Tablas evol IO zona'!D35/'Tablas evol IO zona'!D48-1,"-")</f>
        <v>-2.4232846042407497E-2</v>
      </c>
      <c r="E35" s="167">
        <f>IFERROR('Tablas evol IO zona'!E35/'Tablas evol IO zona'!E48-1,"-")</f>
        <v>-8.8849400266549639E-3</v>
      </c>
      <c r="F35" s="167">
        <f>IFERROR('Tablas evol IO zona'!F35/'Tablas evol IO zona'!F48-1,"-")</f>
        <v>-1.9025750369033867E-2</v>
      </c>
      <c r="G35" s="167">
        <f>IFERROR('Tablas evol IO zona'!G35/'Tablas evol IO zona'!G48-1,"-")</f>
        <v>-4.884661436834481E-2</v>
      </c>
      <c r="H35" s="167">
        <f>IFERROR('Tablas evol IO zona'!H35/'Tablas evol IO zona'!H48-1,"-")</f>
        <v>-4.1262078010741887E-2</v>
      </c>
      <c r="I35" s="167">
        <f>IFERROR('Tablas evol IO zona'!I35/'Tablas evol IO zona'!I48-1,"-")</f>
        <v>-4.1862880695375027E-2</v>
      </c>
      <c r="J35" s="167">
        <f>IFERROR('Tablas evol IO zona'!J35/'Tablas evol IO zona'!J48-1,"-")</f>
        <v>-4.9336467780131121E-2</v>
      </c>
      <c r="K35" s="167">
        <f>IFERROR('Tablas evol IO zona'!K35/'Tablas evol IO zona'!K48-1,"-")</f>
        <v>-4.5480021539517579E-2</v>
      </c>
      <c r="L35" s="167">
        <f>IFERROR('Tablas evol IO zona'!L35/'Tablas evol IO zona'!L48-1,"-")</f>
        <v>-4.5257818262839034E-2</v>
      </c>
    </row>
    <row r="36" spans="3:12" hidden="1" outlineLevel="1">
      <c r="C36" s="51" t="s">
        <v>41</v>
      </c>
      <c r="D36" s="167">
        <f>IFERROR('Tablas evol IO zona'!D36/'Tablas evol IO zona'!D49-1,"-")</f>
        <v>-6.9590191096873255E-3</v>
      </c>
      <c r="E36" s="167">
        <f>IFERROR('Tablas evol IO zona'!E36/'Tablas evol IO zona'!E49-1,"-")</f>
        <v>9.066750039080862E-3</v>
      </c>
      <c r="F36" s="167">
        <f>IFERROR('Tablas evol IO zona'!F36/'Tablas evol IO zona'!F49-1,"-")</f>
        <v>-9.0113285272919175E-4</v>
      </c>
      <c r="G36" s="167">
        <f>IFERROR('Tablas evol IO zona'!G36/'Tablas evol IO zona'!G49-1,"-")</f>
        <v>-4.384956663106232E-2</v>
      </c>
      <c r="H36" s="167">
        <f>IFERROR('Tablas evol IO zona'!H36/'Tablas evol IO zona'!H49-1,"-")</f>
        <v>-1.5861840579743602E-2</v>
      </c>
      <c r="I36" s="167">
        <f>IFERROR('Tablas evol IO zona'!I36/'Tablas evol IO zona'!I49-1,"-")</f>
        <v>-2.7914685912147519E-2</v>
      </c>
      <c r="J36" s="167">
        <f>IFERROR('Tablas evol IO zona'!J36/'Tablas evol IO zona'!J49-1,"-")</f>
        <v>-3.5368085990637899E-2</v>
      </c>
      <c r="K36" s="167">
        <f>IFERROR('Tablas evol IO zona'!K36/'Tablas evol IO zona'!K49-1,"-")</f>
        <v>-9.1130295540874373E-3</v>
      </c>
      <c r="L36" s="167">
        <f>IFERROR('Tablas evol IO zona'!L36/'Tablas evol IO zona'!L49-1,"-")</f>
        <v>-2.1725537089390734E-2</v>
      </c>
    </row>
    <row r="37" spans="3:12" hidden="1" outlineLevel="1">
      <c r="C37" s="51" t="s">
        <v>42</v>
      </c>
      <c r="D37" s="167">
        <f>IFERROR('Tablas evol IO zona'!D37/'Tablas evol IO zona'!D50-1,"-")</f>
        <v>7.7298815484186045E-2</v>
      </c>
      <c r="E37" s="167">
        <f>IFERROR('Tablas evol IO zona'!E37/'Tablas evol IO zona'!E50-1,"-")</f>
        <v>9.3059628543499473E-2</v>
      </c>
      <c r="F37" s="167">
        <f>IFERROR('Tablas evol IO zona'!F37/'Tablas evol IO zona'!F50-1,"-")</f>
        <v>8.282345918519618E-2</v>
      </c>
      <c r="G37" s="167">
        <f>IFERROR('Tablas evol IO zona'!G37/'Tablas evol IO zona'!G50-1,"-")</f>
        <v>4.8007261106547627E-2</v>
      </c>
      <c r="H37" s="167">
        <f>IFERROR('Tablas evol IO zona'!H37/'Tablas evol IO zona'!H50-1,"-")</f>
        <v>3.9730717191437837E-2</v>
      </c>
      <c r="I37" s="167">
        <f>IFERROR('Tablas evol IO zona'!I37/'Tablas evol IO zona'!I50-1,"-")</f>
        <v>4.7329622417217498E-2</v>
      </c>
      <c r="J37" s="167">
        <f>IFERROR('Tablas evol IO zona'!J37/'Tablas evol IO zona'!J50-1,"-")</f>
        <v>2.7130630586603699E-2</v>
      </c>
      <c r="K37" s="167">
        <f>IFERROR('Tablas evol IO zona'!K37/'Tablas evol IO zona'!K50-1,"-")</f>
        <v>2.4315708643786627E-2</v>
      </c>
      <c r="L37" s="167">
        <f>IFERROR('Tablas evol IO zona'!L37/'Tablas evol IO zona'!L50-1,"-")</f>
        <v>2.7911086986943445E-2</v>
      </c>
    </row>
    <row r="38" spans="3:12" hidden="1" outlineLevel="1">
      <c r="C38" s="51" t="s">
        <v>43</v>
      </c>
      <c r="D38" s="167">
        <f>IFERROR('Tablas evol IO zona'!D38/'Tablas evol IO zona'!D51-1,"-")</f>
        <v>9.6658174734002733E-2</v>
      </c>
      <c r="E38" s="167">
        <f>IFERROR('Tablas evol IO zona'!E38/'Tablas evol IO zona'!E51-1,"-")</f>
        <v>0.13689440993788815</v>
      </c>
      <c r="F38" s="167">
        <f>IFERROR('Tablas evol IO zona'!F38/'Tablas evol IO zona'!F51-1,"-")</f>
        <v>0.1134211991832188</v>
      </c>
      <c r="G38" s="167">
        <f>IFERROR('Tablas evol IO zona'!G38/'Tablas evol IO zona'!G51-1,"-")</f>
        <v>6.1542451110346841E-2</v>
      </c>
      <c r="H38" s="167">
        <f>IFERROR('Tablas evol IO zona'!H38/'Tablas evol IO zona'!H51-1,"-")</f>
        <v>7.7474345369408448E-2</v>
      </c>
      <c r="I38" s="167">
        <f>IFERROR('Tablas evol IO zona'!I38/'Tablas evol IO zona'!I51-1,"-")</f>
        <v>7.0570849757088272E-2</v>
      </c>
      <c r="J38" s="167">
        <f>IFERROR('Tablas evol IO zona'!J38/'Tablas evol IO zona'!J51-1,"-")</f>
        <v>3.8896391984761358E-2</v>
      </c>
      <c r="K38" s="167">
        <f>IFERROR('Tablas evol IO zona'!K38/'Tablas evol IO zona'!K51-1,"-")</f>
        <v>6.0714924637628398E-2</v>
      </c>
      <c r="L38" s="167">
        <f>IFERROR('Tablas evol IO zona'!L38/'Tablas evol IO zona'!L51-1,"-")</f>
        <v>5.0001488404924466E-2</v>
      </c>
    </row>
    <row r="39" spans="3:12" hidden="1" outlineLevel="1">
      <c r="C39" s="51" t="s">
        <v>44</v>
      </c>
      <c r="D39" s="167">
        <f>IFERROR('Tablas evol IO zona'!D39/'Tablas evol IO zona'!D52-1,"-")</f>
        <v>0.20743405275779359</v>
      </c>
      <c r="E39" s="167">
        <f>IFERROR('Tablas evol IO zona'!E39/'Tablas evol IO zona'!E52-1,"-")</f>
        <v>0.17892425905598253</v>
      </c>
      <c r="F39" s="167">
        <f>IFERROR('Tablas evol IO zona'!F39/'Tablas evol IO zona'!F52-1,"-")</f>
        <v>0.19903624554787336</v>
      </c>
      <c r="G39" s="167">
        <f>IFERROR('Tablas evol IO zona'!G39/'Tablas evol IO zona'!G52-1,"-")</f>
        <v>0.11537285691074839</v>
      </c>
      <c r="H39" s="167">
        <f>IFERROR('Tablas evol IO zona'!H39/'Tablas evol IO zona'!H52-1,"-")</f>
        <v>2.2112359848434737E-2</v>
      </c>
      <c r="I39" s="167">
        <f>IFERROR('Tablas evol IO zona'!I39/'Tablas evol IO zona'!I52-1,"-")</f>
        <v>7.4286085671150914E-2</v>
      </c>
      <c r="J39" s="167">
        <f>IFERROR('Tablas evol IO zona'!J39/'Tablas evol IO zona'!J52-1,"-")</f>
        <v>0.12087633302721446</v>
      </c>
      <c r="K39" s="167">
        <f>IFERROR('Tablas evol IO zona'!K39/'Tablas evol IO zona'!K52-1,"-")</f>
        <v>5.1446538567741174E-2</v>
      </c>
      <c r="L39" s="167">
        <f>IFERROR('Tablas evol IO zona'!L39/'Tablas evol IO zona'!L52-1,"-")</f>
        <v>9.2375821819973281E-2</v>
      </c>
    </row>
    <row r="40" spans="3:12" hidden="1" outlineLevel="1">
      <c r="C40" s="51" t="s">
        <v>45</v>
      </c>
      <c r="D40" s="167">
        <f>IFERROR('Tablas evol IO zona'!D40/'Tablas evol IO zona'!D53-1,"-")</f>
        <v>6.1971458773784294E-2</v>
      </c>
      <c r="E40" s="167">
        <f>IFERROR('Tablas evol IO zona'!E40/'Tablas evol IO zona'!E53-1,"-")</f>
        <v>-5.0501080762428763E-2</v>
      </c>
      <c r="F40" s="167">
        <f>IFERROR('Tablas evol IO zona'!F40/'Tablas evol IO zona'!F53-1,"-")</f>
        <v>2.0427404148334327E-2</v>
      </c>
      <c r="G40" s="167">
        <f>IFERROR('Tablas evol IO zona'!G40/'Tablas evol IO zona'!G53-1,"-")</f>
        <v>3.2739000259192075E-2</v>
      </c>
      <c r="H40" s="167">
        <f>IFERROR('Tablas evol IO zona'!H40/'Tablas evol IO zona'!H53-1,"-")</f>
        <v>-2.9871427601742107E-2</v>
      </c>
      <c r="I40" s="167">
        <f>IFERROR('Tablas evol IO zona'!I40/'Tablas evol IO zona'!I53-1,"-")</f>
        <v>4.5184277762067016E-3</v>
      </c>
      <c r="J40" s="167">
        <f>IFERROR('Tablas evol IO zona'!J40/'Tablas evol IO zona'!J53-1,"-")</f>
        <v>4.2338111588766658E-2</v>
      </c>
      <c r="K40" s="167">
        <f>IFERROR('Tablas evol IO zona'!K40/'Tablas evol IO zona'!K53-1,"-")</f>
        <v>-1.1537285241852047E-2</v>
      </c>
      <c r="L40" s="167">
        <f>IFERROR('Tablas evol IO zona'!L40/'Tablas evol IO zona'!L53-1,"-")</f>
        <v>1.989692699997514E-2</v>
      </c>
    </row>
    <row r="41" spans="3:12" hidden="1" outlineLevel="1">
      <c r="C41" s="51" t="s">
        <v>46</v>
      </c>
      <c r="D41" s="167">
        <f>IFERROR('Tablas evol IO zona'!D41/'Tablas evol IO zona'!D54-1,"-")</f>
        <v>0.11197882197220399</v>
      </c>
      <c r="E41" s="167">
        <f>IFERROR('Tablas evol IO zona'!E41/'Tablas evol IO zona'!E54-1,"-")</f>
        <v>9.8942340498124892E-3</v>
      </c>
      <c r="F41" s="167">
        <f>IFERROR('Tablas evol IO zona'!F41/'Tablas evol IO zona'!F54-1,"-")</f>
        <v>7.0251002524877482E-2</v>
      </c>
      <c r="G41" s="167">
        <f>IFERROR('Tablas evol IO zona'!G41/'Tablas evol IO zona'!G54-1,"-")</f>
        <v>4.2702671090830258E-2</v>
      </c>
      <c r="H41" s="167">
        <f>IFERROR('Tablas evol IO zona'!H41/'Tablas evol IO zona'!H54-1,"-")</f>
        <v>3.4183117695422371E-2</v>
      </c>
      <c r="I41" s="167">
        <f>IFERROR('Tablas evol IO zona'!I41/'Tablas evol IO zona'!I54-1,"-")</f>
        <v>3.9506903047601183E-2</v>
      </c>
      <c r="J41" s="167">
        <f>IFERROR('Tablas evol IO zona'!J41/'Tablas evol IO zona'!J54-1,"-")</f>
        <v>2.6376049317652583E-2</v>
      </c>
      <c r="K41" s="167">
        <f>IFERROR('Tablas evol IO zona'!K41/'Tablas evol IO zona'!K54-1,"-")</f>
        <v>2.7211645529771511E-2</v>
      </c>
      <c r="L41" s="167">
        <f>IFERROR('Tablas evol IO zona'!L41/'Tablas evol IO zona'!L54-1,"-")</f>
        <v>2.7754726081888892E-2</v>
      </c>
    </row>
    <row r="42" spans="3:12" hidden="1" outlineLevel="1">
      <c r="C42" s="51" t="s">
        <v>47</v>
      </c>
      <c r="D42" s="167">
        <f>IFERROR('Tablas evol IO zona'!D42/'Tablas evol IO zona'!D55-1,"-")</f>
        <v>7.5075469221682622E-2</v>
      </c>
      <c r="E42" s="167">
        <f>IFERROR('Tablas evol IO zona'!E42/'Tablas evol IO zona'!E55-1,"-")</f>
        <v>1.4783347493627863E-2</v>
      </c>
      <c r="F42" s="167">
        <f>IFERROR('Tablas evol IO zona'!F42/'Tablas evol IO zona'!F55-1,"-")</f>
        <v>5.1055039102847921E-2</v>
      </c>
      <c r="G42" s="167">
        <f>IFERROR('Tablas evol IO zona'!G42/'Tablas evol IO zona'!G55-1,"-")</f>
        <v>2.4437617229268405E-2</v>
      </c>
      <c r="H42" s="167">
        <f>IFERROR('Tablas evol IO zona'!H42/'Tablas evol IO zona'!H55-1,"-")</f>
        <v>2.4958160236800087E-2</v>
      </c>
      <c r="I42" s="167">
        <f>IFERROR('Tablas evol IO zona'!I42/'Tablas evol IO zona'!I55-1,"-")</f>
        <v>2.5592120161665566E-2</v>
      </c>
      <c r="J42" s="167">
        <f>IFERROR('Tablas evol IO zona'!J42/'Tablas evol IO zona'!J55-1,"-")</f>
        <v>1.6918640067783874E-2</v>
      </c>
      <c r="K42" s="167">
        <f>IFERROR('Tablas evol IO zona'!K42/'Tablas evol IO zona'!K55-1,"-")</f>
        <v>2.0794621297386184E-2</v>
      </c>
      <c r="L42" s="167">
        <f>IFERROR('Tablas evol IO zona'!L42/'Tablas evol IO zona'!L55-1,"-")</f>
        <v>1.9612984767295005E-2</v>
      </c>
    </row>
    <row r="43" spans="3:12" hidden="1" outlineLevel="1">
      <c r="C43" s="51" t="s">
        <v>48</v>
      </c>
      <c r="D43" s="167">
        <f>IFERROR('Tablas evol IO zona'!D43/'Tablas evol IO zona'!D56-1,"-")</f>
        <v>5.7441253263707637E-2</v>
      </c>
      <c r="E43" s="167">
        <f>IFERROR('Tablas evol IO zona'!E43/'Tablas evol IO zona'!E56-1,"-")</f>
        <v>5.6949635166398949E-3</v>
      </c>
      <c r="F43" s="167">
        <f>IFERROR('Tablas evol IO zona'!F43/'Tablas evol IO zona'!F56-1,"-")</f>
        <v>3.7636827110511417E-2</v>
      </c>
      <c r="G43" s="167">
        <f>IFERROR('Tablas evol IO zona'!G43/'Tablas evol IO zona'!G56-1,"-")</f>
        <v>7.5643139824677075E-3</v>
      </c>
      <c r="H43" s="167">
        <f>IFERROR('Tablas evol IO zona'!H43/'Tablas evol IO zona'!H56-1,"-")</f>
        <v>1.9417075464950084E-2</v>
      </c>
      <c r="I43" s="167">
        <f>IFERROR('Tablas evol IO zona'!I43/'Tablas evol IO zona'!I56-1,"-")</f>
        <v>1.4520619099730459E-2</v>
      </c>
      <c r="J43" s="167">
        <f>IFERROR('Tablas evol IO zona'!J43/'Tablas evol IO zona'!J56-1,"-")</f>
        <v>3.0235681433448125E-3</v>
      </c>
      <c r="K43" s="167">
        <f>IFERROR('Tablas evol IO zona'!K43/'Tablas evol IO zona'!K56-1,"-")</f>
        <v>1.9875757805446703E-2</v>
      </c>
      <c r="L43" s="167">
        <f>IFERROR('Tablas evol IO zona'!L43/'Tablas evol IO zona'!L56-1,"-")</f>
        <v>1.1932664685926131E-2</v>
      </c>
    </row>
    <row r="44" spans="3:12" collapsed="1">
      <c r="C44" s="58">
        <v>2008</v>
      </c>
      <c r="D44" s="170">
        <f>IFERROR('Tablas evol IO zona'!D44/'Tablas evol IO zona'!D57-1,"-")</f>
        <v>3.7154145147359818E-2</v>
      </c>
      <c r="E44" s="170">
        <f>IFERROR('Tablas evol IO zona'!E44/'Tablas evol IO zona'!E57-1,"-")</f>
        <v>5.0049367512734477E-3</v>
      </c>
      <c r="F44" s="170">
        <f>IFERROR('Tablas evol IO zona'!F44/'Tablas evol IO zona'!F57-1,"-")</f>
        <v>2.5365732768151794E-2</v>
      </c>
      <c r="G44" s="170">
        <f>IFERROR('Tablas evol IO zona'!G44/'Tablas evol IO zona'!G57-1,"-")</f>
        <v>-1.5123387714816028E-3</v>
      </c>
      <c r="H44" s="170">
        <f>IFERROR('Tablas evol IO zona'!H44/'Tablas evol IO zona'!H57-1,"-")</f>
        <v>-9.0032660310916945E-3</v>
      </c>
      <c r="I44" s="170">
        <f>IFERROR('Tablas evol IO zona'!I44/'Tablas evol IO zona'!I57-1,"-")</f>
        <v>-3.064980221706981E-3</v>
      </c>
      <c r="J44" s="170">
        <f>IFERROR('Tablas evol IO zona'!J44/'Tablas evol IO zona'!J57-1,"-")</f>
        <v>-1.9928606098897905E-3</v>
      </c>
      <c r="K44" s="170">
        <f>IFERROR('Tablas evol IO zona'!K44/'Tablas evol IO zona'!K57-1,"-")</f>
        <v>-8.6104971440255085E-3</v>
      </c>
      <c r="L44" s="170">
        <f>IFERROR('Tablas evol IO zona'!L44/'Tablas evol IO zona'!L57-1,"-")</f>
        <v>-3.5023520967877309E-3</v>
      </c>
    </row>
    <row r="45" spans="3:12" hidden="1" outlineLevel="1">
      <c r="C45" s="51" t="s">
        <v>37</v>
      </c>
      <c r="D45" s="167">
        <f>IFERROR('Tablas evol IO zona'!D45/'Tablas evol IO zona'!D58-1,"-")</f>
        <v>4.1608876560332853E-2</v>
      </c>
      <c r="E45" s="167">
        <f>IFERROR('Tablas evol IO zona'!E45/'Tablas evol IO zona'!E58-1,"-")</f>
        <v>2.659471959915205E-2</v>
      </c>
      <c r="F45" s="167">
        <f>IFERROR('Tablas evol IO zona'!F45/'Tablas evol IO zona'!F58-1,"-")</f>
        <v>3.5628310062590263E-2</v>
      </c>
      <c r="G45" s="167">
        <f>IFERROR('Tablas evol IO zona'!G45/'Tablas evol IO zona'!G58-1,"-")</f>
        <v>-7.3803462327790559E-3</v>
      </c>
      <c r="H45" s="167">
        <f>IFERROR('Tablas evol IO zona'!H45/'Tablas evol IO zona'!H58-1,"-")</f>
        <v>2.2032567376254697E-2</v>
      </c>
      <c r="I45" s="167">
        <f>IFERROR('Tablas evol IO zona'!I45/'Tablas evol IO zona'!I58-1,"-")</f>
        <v>8.0509596065343469E-3</v>
      </c>
      <c r="J45" s="167">
        <f>IFERROR('Tablas evol IO zona'!J45/'Tablas evol IO zona'!J58-1,"-")</f>
        <v>-1.2759417065445255E-2</v>
      </c>
      <c r="K45" s="167">
        <f>IFERROR('Tablas evol IO zona'!K45/'Tablas evol IO zona'!K58-1,"-")</f>
        <v>2.2854591170963223E-2</v>
      </c>
      <c r="L45" s="167">
        <f>IFERROR('Tablas evol IO zona'!L45/'Tablas evol IO zona'!L58-1,"-")</f>
        <v>5.1172792302491832E-3</v>
      </c>
    </row>
    <row r="46" spans="3:12" hidden="1" outlineLevel="1">
      <c r="C46" s="51" t="s">
        <v>38</v>
      </c>
      <c r="D46" s="167">
        <f>IFERROR('Tablas evol IO zona'!D46/'Tablas evol IO zona'!D59-1,"-")</f>
        <v>4.6298718284070173E-2</v>
      </c>
      <c r="E46" s="167">
        <f>IFERROR('Tablas evol IO zona'!E46/'Tablas evol IO zona'!E59-1,"-")</f>
        <v>3.7429111531191106E-2</v>
      </c>
      <c r="F46" s="167">
        <f>IFERROR('Tablas evol IO zona'!F46/'Tablas evol IO zona'!F59-1,"-")</f>
        <v>4.3050430504304904E-2</v>
      </c>
      <c r="G46" s="167">
        <f>IFERROR('Tablas evol IO zona'!G46/'Tablas evol IO zona'!G59-1,"-")</f>
        <v>3.6761006878243352E-2</v>
      </c>
      <c r="H46" s="167">
        <f>IFERROR('Tablas evol IO zona'!H46/'Tablas evol IO zona'!H59-1,"-")</f>
        <v>1.0291747546617991E-2</v>
      </c>
      <c r="I46" s="167">
        <f>IFERROR('Tablas evol IO zona'!I46/'Tablas evol IO zona'!I59-1,"-")</f>
        <v>2.4342064109889039E-2</v>
      </c>
      <c r="J46" s="167">
        <f>IFERROR('Tablas evol IO zona'!J46/'Tablas evol IO zona'!J59-1,"-")</f>
        <v>1.4892867142954236E-2</v>
      </c>
      <c r="K46" s="167">
        <f>IFERROR('Tablas evol IO zona'!K46/'Tablas evol IO zona'!K59-1,"-")</f>
        <v>6.8071697860010438E-3</v>
      </c>
      <c r="L46" s="167">
        <f>IFERROR('Tablas evol IO zona'!L46/'Tablas evol IO zona'!L59-1,"-")</f>
        <v>1.2115844891495975E-2</v>
      </c>
    </row>
    <row r="47" spans="3:12" hidden="1" outlineLevel="1">
      <c r="C47" s="51" t="s">
        <v>39</v>
      </c>
      <c r="D47" s="167">
        <f>IFERROR('Tablas evol IO zona'!D47/'Tablas evol IO zona'!D60-1,"-")</f>
        <v>-2.2761194029850884E-2</v>
      </c>
      <c r="E47" s="167">
        <f>IFERROR('Tablas evol IO zona'!E47/'Tablas evol IO zona'!E60-1,"-")</f>
        <v>-2.764537654909438E-2</v>
      </c>
      <c r="F47" s="167">
        <f>IFERROR('Tablas evol IO zona'!F47/'Tablas evol IO zona'!F60-1,"-")</f>
        <v>-2.4233358264771687E-2</v>
      </c>
      <c r="G47" s="167">
        <f>IFERROR('Tablas evol IO zona'!G47/'Tablas evol IO zona'!G60-1,"-")</f>
        <v>-4.3978607458272978E-2</v>
      </c>
      <c r="H47" s="167">
        <f>IFERROR('Tablas evol IO zona'!H47/'Tablas evol IO zona'!H60-1,"-")</f>
        <v>-9.2595585336073483E-2</v>
      </c>
      <c r="I47" s="167">
        <f>IFERROR('Tablas evol IO zona'!I47/'Tablas evol IO zona'!I60-1,"-")</f>
        <v>-6.6851573103631878E-2</v>
      </c>
      <c r="J47" s="167">
        <f>IFERROR('Tablas evol IO zona'!J47/'Tablas evol IO zona'!J60-1,"-")</f>
        <v>-6.5320015462092651E-2</v>
      </c>
      <c r="K47" s="167">
        <f>IFERROR('Tablas evol IO zona'!K47/'Tablas evol IO zona'!K60-1,"-")</f>
        <v>-8.0034199743010848E-2</v>
      </c>
      <c r="L47" s="167">
        <f>IFERROR('Tablas evol IO zona'!L47/'Tablas evol IO zona'!L60-1,"-")</f>
        <v>-7.0934011952755394E-2</v>
      </c>
    </row>
    <row r="48" spans="3:12" hidden="1" outlineLevel="1">
      <c r="C48" s="51" t="s">
        <v>40</v>
      </c>
      <c r="D48" s="167">
        <f>IFERROR('Tablas evol IO zona'!D48/'Tablas evol IO zona'!D61-1,"-")</f>
        <v>-2.7535860655737543E-2</v>
      </c>
      <c r="E48" s="167">
        <f>IFERROR('Tablas evol IO zona'!E48/'Tablas evol IO zona'!E61-1,"-")</f>
        <v>-0.1067460317460317</v>
      </c>
      <c r="F48" s="167">
        <f>IFERROR('Tablas evol IO zona'!F48/'Tablas evol IO zona'!F61-1,"-")</f>
        <v>-5.7067738942158996E-2</v>
      </c>
      <c r="G48" s="167">
        <f>IFERROR('Tablas evol IO zona'!G48/'Tablas evol IO zona'!G61-1,"-")</f>
        <v>-3.3694116848220879E-2</v>
      </c>
      <c r="H48" s="167">
        <f>IFERROR('Tablas evol IO zona'!H48/'Tablas evol IO zona'!H61-1,"-")</f>
        <v>-0.11697165877441273</v>
      </c>
      <c r="I48" s="167">
        <f>IFERROR('Tablas evol IO zona'!I48/'Tablas evol IO zona'!I61-1,"-")</f>
        <v>-7.2186884105331361E-2</v>
      </c>
      <c r="J48" s="167">
        <f>IFERROR('Tablas evol IO zona'!J48/'Tablas evol IO zona'!J61-1,"-")</f>
        <v>-6.1958876115664308E-2</v>
      </c>
      <c r="K48" s="167">
        <f>IFERROR('Tablas evol IO zona'!K48/'Tablas evol IO zona'!K61-1,"-")</f>
        <v>-0.11001242145335932</v>
      </c>
      <c r="L48" s="167">
        <f>IFERROR('Tablas evol IO zona'!L48/'Tablas evol IO zona'!L61-1,"-")</f>
        <v>-8.1787987863093048E-2</v>
      </c>
    </row>
    <row r="49" spans="3:12" hidden="1" outlineLevel="1">
      <c r="C49" s="51" t="s">
        <v>41</v>
      </c>
      <c r="D49" s="167">
        <f>IFERROR('Tablas evol IO zona'!D49/'Tablas evol IO zona'!D62-1,"-")</f>
        <v>-3.7324542747766976E-2</v>
      </c>
      <c r="E49" s="167">
        <f>IFERROR('Tablas evol IO zona'!E49/'Tablas evol IO zona'!E62-1,"-")</f>
        <v>-8.7576665240336582E-2</v>
      </c>
      <c r="F49" s="167">
        <f>IFERROR('Tablas evol IO zona'!F49/'Tablas evol IO zona'!F62-1,"-")</f>
        <v>-5.7738961669092537E-2</v>
      </c>
      <c r="G49" s="167">
        <f>IFERROR('Tablas evol IO zona'!G49/'Tablas evol IO zona'!G62-1,"-")</f>
        <v>-4.2404381611645836E-2</v>
      </c>
      <c r="H49" s="167">
        <f>IFERROR('Tablas evol IO zona'!H49/'Tablas evol IO zona'!H62-1,"-")</f>
        <v>-0.12223608780803275</v>
      </c>
      <c r="I49" s="167">
        <f>IFERROR('Tablas evol IO zona'!I49/'Tablas evol IO zona'!I62-1,"-")</f>
        <v>-8.2207033557385123E-2</v>
      </c>
      <c r="J49" s="167">
        <f>IFERROR('Tablas evol IO zona'!J49/'Tablas evol IO zona'!J62-1,"-")</f>
        <v>-4.9180490591834047E-2</v>
      </c>
      <c r="K49" s="167">
        <f>IFERROR('Tablas evol IO zona'!K49/'Tablas evol IO zona'!K62-1,"-")</f>
        <v>-0.10494243483596644</v>
      </c>
      <c r="L49" s="167">
        <f>IFERROR('Tablas evol IO zona'!L49/'Tablas evol IO zona'!L62-1,"-")</f>
        <v>-7.486000149323413E-2</v>
      </c>
    </row>
    <row r="50" spans="3:12" hidden="1" outlineLevel="1">
      <c r="C50" s="51" t="s">
        <v>42</v>
      </c>
      <c r="D50" s="167">
        <f>IFERROR('Tablas evol IO zona'!D50/'Tablas evol IO zona'!D63-1,"-")</f>
        <v>-3.5567071016370244E-2</v>
      </c>
      <c r="E50" s="167">
        <f>IFERROR('Tablas evol IO zona'!E50/'Tablas evol IO zona'!E63-1,"-")</f>
        <v>-0.13946837146702551</v>
      </c>
      <c r="F50" s="167">
        <f>IFERROR('Tablas evol IO zona'!F50/'Tablas evol IO zona'!F63-1,"-")</f>
        <v>-7.661568141105124E-2</v>
      </c>
      <c r="G50" s="167">
        <f>IFERROR('Tablas evol IO zona'!G50/'Tablas evol IO zona'!G63-1,"-")</f>
        <v>-6.0362182136041498E-2</v>
      </c>
      <c r="H50" s="167">
        <f>IFERROR('Tablas evol IO zona'!H50/'Tablas evol IO zona'!H63-1,"-")</f>
        <v>-0.12144073727494675</v>
      </c>
      <c r="I50" s="167">
        <f>IFERROR('Tablas evol IO zona'!I50/'Tablas evol IO zona'!I63-1,"-")</f>
        <v>-8.955520114844806E-2</v>
      </c>
      <c r="J50" s="167">
        <f>IFERROR('Tablas evol IO zona'!J50/'Tablas evol IO zona'!J63-1,"-")</f>
        <v>-7.7529898212994941E-2</v>
      </c>
      <c r="K50" s="167">
        <f>IFERROR('Tablas evol IO zona'!K50/'Tablas evol IO zona'!K63-1,"-")</f>
        <v>-0.10856922991970563</v>
      </c>
      <c r="L50" s="167">
        <f>IFERROR('Tablas evol IO zona'!L50/'Tablas evol IO zona'!L63-1,"-")</f>
        <v>-9.0719090399179803E-2</v>
      </c>
    </row>
    <row r="51" spans="3:12" hidden="1" outlineLevel="1">
      <c r="C51" s="51" t="s">
        <v>43</v>
      </c>
      <c r="D51" s="167">
        <f>IFERROR('Tablas evol IO zona'!D51/'Tablas evol IO zona'!D64-1,"-")</f>
        <v>-7.6529200110711293E-2</v>
      </c>
      <c r="E51" s="167">
        <f>IFERROR('Tablas evol IO zona'!E51/'Tablas evol IO zona'!E64-1,"-")</f>
        <v>-0.11382650814619111</v>
      </c>
      <c r="F51" s="167">
        <f>IFERROR('Tablas evol IO zona'!F51/'Tablas evol IO zona'!F64-1,"-")</f>
        <v>-9.0033783783783905E-2</v>
      </c>
      <c r="G51" s="167">
        <f>IFERROR('Tablas evol IO zona'!G51/'Tablas evol IO zona'!G64-1,"-")</f>
        <v>-7.9346817484283627E-2</v>
      </c>
      <c r="H51" s="167">
        <f>IFERROR('Tablas evol IO zona'!H51/'Tablas evol IO zona'!H64-1,"-")</f>
        <v>-0.10912027644325517</v>
      </c>
      <c r="I51" s="167">
        <f>IFERROR('Tablas evol IO zona'!I51/'Tablas evol IO zona'!I64-1,"-")</f>
        <v>-9.2762211458369825E-2</v>
      </c>
      <c r="J51" s="167">
        <f>IFERROR('Tablas evol IO zona'!J51/'Tablas evol IO zona'!J64-1,"-")</f>
        <v>-7.7589670126598342E-2</v>
      </c>
      <c r="K51" s="167">
        <f>IFERROR('Tablas evol IO zona'!K51/'Tablas evol IO zona'!K64-1,"-")</f>
        <v>-8.7333390097681818E-2</v>
      </c>
      <c r="L51" s="167">
        <f>IFERROR('Tablas evol IO zona'!L51/'Tablas evol IO zona'!L64-1,"-")</f>
        <v>-8.1411747683396096E-2</v>
      </c>
    </row>
    <row r="52" spans="3:12" hidden="1" outlineLevel="1">
      <c r="C52" s="51" t="s">
        <v>44</v>
      </c>
      <c r="D52" s="167">
        <f>IFERROR('Tablas evol IO zona'!D52/'Tablas evol IO zona'!D65-1,"-")</f>
        <v>-0.11826008155867684</v>
      </c>
      <c r="E52" s="167">
        <f>IFERROR('Tablas evol IO zona'!E52/'Tablas evol IO zona'!E65-1,"-")</f>
        <v>-0.10948191593352896</v>
      </c>
      <c r="F52" s="167">
        <f>IFERROR('Tablas evol IO zona'!F52/'Tablas evol IO zona'!F65-1,"-")</f>
        <v>-0.11447124304267164</v>
      </c>
      <c r="G52" s="167">
        <f>IFERROR('Tablas evol IO zona'!G52/'Tablas evol IO zona'!G65-1,"-")</f>
        <v>-9.380756858039685E-2</v>
      </c>
      <c r="H52" s="167">
        <f>IFERROR('Tablas evol IO zona'!H52/'Tablas evol IO zona'!H65-1,"-")</f>
        <v>-8.7900098793264103E-2</v>
      </c>
      <c r="I52" s="167">
        <f>IFERROR('Tablas evol IO zona'!I52/'Tablas evol IO zona'!I65-1,"-")</f>
        <v>-9.0631619111755213E-2</v>
      </c>
      <c r="J52" s="167">
        <f>IFERROR('Tablas evol IO zona'!J52/'Tablas evol IO zona'!J65-1,"-")</f>
        <v>-0.11339864201582606</v>
      </c>
      <c r="K52" s="167">
        <f>IFERROR('Tablas evol IO zona'!K52/'Tablas evol IO zona'!K65-1,"-")</f>
        <v>-7.1795887953440385E-2</v>
      </c>
      <c r="L52" s="167">
        <f>IFERROR('Tablas evol IO zona'!L52/'Tablas evol IO zona'!L65-1,"-")</f>
        <v>-9.5136023733904174E-2</v>
      </c>
    </row>
    <row r="53" spans="3:12" hidden="1" outlineLevel="1">
      <c r="C53" s="51" t="s">
        <v>45</v>
      </c>
      <c r="D53" s="167">
        <f>IFERROR('Tablas evol IO zona'!D53/'Tablas evol IO zona'!D66-1,"-")</f>
        <v>-7.4929715193741586E-2</v>
      </c>
      <c r="E53" s="167">
        <f>IFERROR('Tablas evol IO zona'!E53/'Tablas evol IO zona'!E66-1,"-")</f>
        <v>-9.222261862290404E-2</v>
      </c>
      <c r="F53" s="167">
        <f>IFERROR('Tablas evol IO zona'!F53/'Tablas evol IO zona'!F66-1,"-")</f>
        <v>-8.1408775981524295E-2</v>
      </c>
      <c r="G53" s="167">
        <f>IFERROR('Tablas evol IO zona'!G53/'Tablas evol IO zona'!G66-1,"-")</f>
        <v>-8.7205542378807732E-2</v>
      </c>
      <c r="H53" s="167">
        <f>IFERROR('Tablas evol IO zona'!H53/'Tablas evol IO zona'!H66-1,"-")</f>
        <v>-0.10102916104848425</v>
      </c>
      <c r="I53" s="167">
        <f>IFERROR('Tablas evol IO zona'!I53/'Tablas evol IO zona'!I66-1,"-")</f>
        <v>-9.3481139252529433E-2</v>
      </c>
      <c r="J53" s="167">
        <f>IFERROR('Tablas evol IO zona'!J53/'Tablas evol IO zona'!J66-1,"-")</f>
        <v>-6.3330440317017289E-2</v>
      </c>
      <c r="K53" s="167">
        <f>IFERROR('Tablas evol IO zona'!K53/'Tablas evol IO zona'!K66-1,"-")</f>
        <v>-0.10122017137004513</v>
      </c>
      <c r="L53" s="167">
        <f>IFERROR('Tablas evol IO zona'!L53/'Tablas evol IO zona'!L66-1,"-")</f>
        <v>-8.0337278871136064E-2</v>
      </c>
    </row>
    <row r="54" spans="3:12" hidden="1" outlineLevel="1">
      <c r="C54" s="51" t="s">
        <v>46</v>
      </c>
      <c r="D54" s="167">
        <f>IFERROR('Tablas evol IO zona'!D54/'Tablas evol IO zona'!D67-1,"-")</f>
        <v>-3.2898105478750717E-2</v>
      </c>
      <c r="E54" s="167">
        <f>IFERROR('Tablas evol IO zona'!E54/'Tablas evol IO zona'!E67-1,"-")</f>
        <v>1.7061934823403568E-4</v>
      </c>
      <c r="F54" s="167">
        <f>IFERROR('Tablas evol IO zona'!F54/'Tablas evol IO zona'!F67-1,"-")</f>
        <v>-1.8942153577152787E-2</v>
      </c>
      <c r="G54" s="167">
        <f>IFERROR('Tablas evol IO zona'!G54/'Tablas evol IO zona'!G67-1,"-")</f>
        <v>-4.8398254948665009E-3</v>
      </c>
      <c r="H54" s="167">
        <f>IFERROR('Tablas evol IO zona'!H54/'Tablas evol IO zona'!H67-1,"-")</f>
        <v>-7.767099678828826E-3</v>
      </c>
      <c r="I54" s="167">
        <f>IFERROR('Tablas evol IO zona'!I54/'Tablas evol IO zona'!I67-1,"-")</f>
        <v>-6.0085892997129298E-3</v>
      </c>
      <c r="J54" s="167">
        <f>IFERROR('Tablas evol IO zona'!J54/'Tablas evol IO zona'!J67-1,"-")</f>
        <v>-1.8179552732657811E-3</v>
      </c>
      <c r="K54" s="167">
        <f>IFERROR('Tablas evol IO zona'!K54/'Tablas evol IO zona'!K67-1,"-")</f>
        <v>-5.2454357014952713E-3</v>
      </c>
      <c r="L54" s="167">
        <f>IFERROR('Tablas evol IO zona'!L54/'Tablas evol IO zona'!L67-1,"-")</f>
        <v>-3.1740398771837874E-3</v>
      </c>
    </row>
    <row r="55" spans="3:12" hidden="1" outlineLevel="1">
      <c r="C55" s="51" t="s">
        <v>47</v>
      </c>
      <c r="D55" s="167">
        <f>IFERROR('Tablas evol IO zona'!D55/'Tablas evol IO zona'!D68-1,"-")</f>
        <v>-3.0044557606619948E-2</v>
      </c>
      <c r="E55" s="167">
        <f>IFERROR('Tablas evol IO zona'!E55/'Tablas evol IO zona'!E68-1,"-")</f>
        <v>-3.2231540864989361E-2</v>
      </c>
      <c r="F55" s="167">
        <f>IFERROR('Tablas evol IO zona'!F55/'Tablas evol IO zona'!F68-1,"-")</f>
        <v>-3.0749427917620253E-2</v>
      </c>
      <c r="G55" s="167">
        <f>IFERROR('Tablas evol IO zona'!G55/'Tablas evol IO zona'!G68-1,"-")</f>
        <v>1.0397759808900009E-3</v>
      </c>
      <c r="H55" s="167">
        <f>IFERROR('Tablas evol IO zona'!H55/'Tablas evol IO zona'!H68-1,"-")</f>
        <v>-2.7787890828657402E-2</v>
      </c>
      <c r="I55" s="167">
        <f>IFERROR('Tablas evol IO zona'!I55/'Tablas evol IO zona'!I68-1,"-")</f>
        <v>-1.3668524047150687E-2</v>
      </c>
      <c r="J55" s="167">
        <f>IFERROR('Tablas evol IO zona'!J55/'Tablas evol IO zona'!J68-1,"-")</f>
        <v>2.9355350128563718E-3</v>
      </c>
      <c r="K55" s="167">
        <f>IFERROR('Tablas evol IO zona'!K55/'Tablas evol IO zona'!K68-1,"-")</f>
        <v>-2.7174367393778431E-2</v>
      </c>
      <c r="L55" s="167">
        <f>IFERROR('Tablas evol IO zona'!L55/'Tablas evol IO zona'!L68-1,"-")</f>
        <v>-1.1654096319740681E-2</v>
      </c>
    </row>
    <row r="56" spans="3:12" hidden="1" outlineLevel="1">
      <c r="C56" s="51" t="s">
        <v>48</v>
      </c>
      <c r="D56" s="167">
        <f>IFERROR('Tablas evol IO zona'!D56/'Tablas evol IO zona'!D69-1,"-")</f>
        <v>-4.8565395603030859E-2</v>
      </c>
      <c r="E56" s="167">
        <f>IFERROR('Tablas evol IO zona'!E56/'Tablas evol IO zona'!E69-1,"-")</f>
        <v>-4.1126279863481274E-2</v>
      </c>
      <c r="F56" s="167">
        <f>IFERROR('Tablas evol IO zona'!F56/'Tablas evol IO zona'!F69-1,"-")</f>
        <v>-4.5239799570508166E-2</v>
      </c>
      <c r="G56" s="167">
        <f>IFERROR('Tablas evol IO zona'!G56/'Tablas evol IO zona'!G69-1,"-")</f>
        <v>-7.7886388380079552E-3</v>
      </c>
      <c r="H56" s="167">
        <f>IFERROR('Tablas evol IO zona'!H56/'Tablas evol IO zona'!H69-1,"-")</f>
        <v>-3.1852376885829869E-2</v>
      </c>
      <c r="I56" s="167">
        <f>IFERROR('Tablas evol IO zona'!I56/'Tablas evol IO zona'!I69-1,"-")</f>
        <v>-1.9475228570778103E-2</v>
      </c>
      <c r="J56" s="167">
        <f>IFERROR('Tablas evol IO zona'!J56/'Tablas evol IO zona'!J69-1,"-")</f>
        <v>1.0119877698535396E-2</v>
      </c>
      <c r="K56" s="167">
        <f>IFERROR('Tablas evol IO zona'!K56/'Tablas evol IO zona'!K69-1,"-")</f>
        <v>-2.5133105556031543E-2</v>
      </c>
      <c r="L56" s="167">
        <f>IFERROR('Tablas evol IO zona'!L56/'Tablas evol IO zona'!L69-1,"-")</f>
        <v>-6.6156871770760572E-3</v>
      </c>
    </row>
    <row r="57" spans="3:12" collapsed="1">
      <c r="C57" s="58">
        <v>2007</v>
      </c>
      <c r="D57" s="170">
        <f>IFERROR('Tablas evol IO zona'!D57/'Tablas evol IO zona'!D70-1,"-")</f>
        <v>-3.4283895177019019E-2</v>
      </c>
      <c r="E57" s="170">
        <f>IFERROR('Tablas evol IO zona'!E57/'Tablas evol IO zona'!E70-1,"-")</f>
        <v>-5.6566521614661247E-2</v>
      </c>
      <c r="F57" s="170">
        <f>IFERROR('Tablas evol IO zona'!F57/'Tablas evol IO zona'!F70-1,"-")</f>
        <v>-4.2822574517340728E-2</v>
      </c>
      <c r="G57" s="170">
        <f>IFERROR('Tablas evol IO zona'!G57/'Tablas evol IO zona'!G70-1,"-")</f>
        <v>-3.5094376091625801E-2</v>
      </c>
      <c r="H57" s="170">
        <f>IFERROR('Tablas evol IO zona'!H57/'Tablas evol IO zona'!H70-1,"-")</f>
        <v>-6.5538722352820988E-2</v>
      </c>
      <c r="I57" s="170">
        <f>IFERROR('Tablas evol IO zona'!I57/'Tablas evol IO zona'!I70-1,"-")</f>
        <v>-4.9469028989391761E-2</v>
      </c>
      <c r="J57" s="170">
        <f>IFERROR('Tablas evol IO zona'!J57/'Tablas evol IO zona'!J70-1,"-")</f>
        <v>-4.097905965887827E-2</v>
      </c>
      <c r="K57" s="170">
        <f>IFERROR('Tablas evol IO zona'!K57/'Tablas evol IO zona'!K70-1,"-")</f>
        <v>-5.7281679505599481E-2</v>
      </c>
      <c r="L57" s="170">
        <f>IFERROR('Tablas evol IO zona'!L57/'Tablas evol IO zona'!L70-1,"-")</f>
        <v>-4.782533547071699E-2</v>
      </c>
    </row>
    <row r="58" spans="3:12" ht="15" customHeight="1">
      <c r="C58" s="136" t="s">
        <v>77</v>
      </c>
      <c r="D58" s="137"/>
      <c r="E58" s="137"/>
      <c r="F58" s="137"/>
      <c r="G58" s="137"/>
      <c r="H58" s="137"/>
      <c r="I58" s="137"/>
      <c r="J58" s="137"/>
      <c r="K58" s="137"/>
      <c r="L58" s="138"/>
    </row>
  </sheetData>
  <mergeCells count="6">
    <mergeCell ref="C3:L3"/>
    <mergeCell ref="C4:C5"/>
    <mergeCell ref="D4:F4"/>
    <mergeCell ref="G4:I4"/>
    <mergeCell ref="J4:L4"/>
    <mergeCell ref="C58:L5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C2:J74"/>
  <sheetViews>
    <sheetView showGridLines="0" showRowColHeaders="0" topLeftCell="B1" zoomScaleNormal="100" workbookViewId="0">
      <selection activeCell="B25" sqref="B25"/>
    </sheetView>
  </sheetViews>
  <sheetFormatPr baseColWidth="10" defaultRowHeight="15" outlineLevelRow="1"/>
  <cols>
    <col min="1" max="1" width="14.28515625" style="121" customWidth="1"/>
    <col min="2" max="8" width="11.42578125" style="121"/>
    <col min="9" max="9" width="14" style="121" customWidth="1"/>
    <col min="10" max="11" width="11.42578125" style="121"/>
    <col min="12" max="12" width="14.28515625" style="121" customWidth="1"/>
    <col min="13" max="16384" width="11.42578125" style="121"/>
  </cols>
  <sheetData>
    <row r="2" spans="3:10" ht="42.75" customHeight="1"/>
    <row r="3" spans="3:10" ht="35.25" customHeight="1">
      <c r="C3" s="160" t="s">
        <v>257</v>
      </c>
      <c r="D3" s="160"/>
      <c r="E3" s="160"/>
      <c r="F3" s="160"/>
      <c r="G3" s="160"/>
      <c r="H3" s="160"/>
      <c r="I3" s="160"/>
      <c r="J3" s="160"/>
    </row>
    <row r="4" spans="3:10" ht="45" customHeight="1">
      <c r="C4" s="161"/>
      <c r="D4" s="128" t="s">
        <v>258</v>
      </c>
      <c r="E4" s="128" t="s">
        <v>115</v>
      </c>
      <c r="F4" s="128" t="s">
        <v>116</v>
      </c>
      <c r="G4" s="128" t="s">
        <v>117</v>
      </c>
      <c r="H4" s="162" t="s">
        <v>34</v>
      </c>
      <c r="I4" s="162" t="s">
        <v>118</v>
      </c>
      <c r="J4" s="163" t="s">
        <v>36</v>
      </c>
    </row>
    <row r="5" spans="3:10" hidden="1">
      <c r="C5" s="51" t="s">
        <v>37</v>
      </c>
      <c r="D5" s="342">
        <f>GETPIVOTDATA("dato",'[1]tabla dinámica IO men'!$A$96,"categoría","1* y 2 *","mes",12,"año",2010)</f>
        <v>0</v>
      </c>
      <c r="E5" s="342">
        <f>GETPIVOTDATA("dato",'[1]tabla dinámica IO men'!$A$96,"categoría","3 *","mes",12,"año",2010)</f>
        <v>0</v>
      </c>
      <c r="F5" s="342">
        <f>GETPIVOTDATA("dato",'[1]tabla dinámica IO men'!$A$96,"categoría","4 *","mes",12,"año",2010)</f>
        <v>0</v>
      </c>
      <c r="G5" s="342">
        <f>GETPIVOTDATA("dato",'[1]tabla dinámica IO men'!$A$96,"categoría","5 *","mes",12,"año",2010)</f>
        <v>0</v>
      </c>
      <c r="H5" s="342">
        <f>GETPIVOTDATA("dato",'[1]tabla dinámica IO men'!$A$96,"categoría","hoteleros","mes",12,"año",2010)</f>
        <v>0</v>
      </c>
      <c r="I5" s="342">
        <f>GETPIVOTDATA("dato",'[1]tabla dinámica IO men'!$A$96,"categoría","extrahoteleros","mes",12,"año",2010)</f>
        <v>0</v>
      </c>
      <c r="J5" s="342">
        <f>GETPIVOTDATA("dato",'[1]tabla dinámica IO men'!$A$96,"categoría","total","mes",12,"año",2010)</f>
        <v>0</v>
      </c>
    </row>
    <row r="6" spans="3:10" hidden="1">
      <c r="C6" s="51" t="s">
        <v>38</v>
      </c>
      <c r="D6" s="342">
        <f>GETPIVOTDATA("dato",'[1]tabla dinámica IO men'!$A$96,"categoría","1* y 2 *","mes",11,"año",2010)</f>
        <v>0</v>
      </c>
      <c r="E6" s="342">
        <f>GETPIVOTDATA("dato",'[1]tabla dinámica IO men'!$A$96,"categoría","3 *","mes",11,"año",2010)</f>
        <v>0</v>
      </c>
      <c r="F6" s="342">
        <f>GETPIVOTDATA("dato",'[1]tabla dinámica IO men'!$A$96,"categoría","4 *","mes",11,"año",2010)</f>
        <v>0</v>
      </c>
      <c r="G6" s="342">
        <f>GETPIVOTDATA("dato",'[1]tabla dinámica IO men'!$A$96,"categoría","5 *","mes",11,"año",2010)</f>
        <v>0</v>
      </c>
      <c r="H6" s="342">
        <f>GETPIVOTDATA("dato",'[1]tabla dinámica IO men'!$A$96,"categoría","hoteleros","mes",11,"año",2010)</f>
        <v>0</v>
      </c>
      <c r="I6" s="342">
        <f>GETPIVOTDATA("dato",'[1]tabla dinámica IO men'!$A$96,"categoría","extrahoteleros","mes",11,"año",2010)</f>
        <v>0</v>
      </c>
      <c r="J6" s="342">
        <f>GETPIVOTDATA("dato",'[1]tabla dinámica IO men'!$A$96,"categoría","total","mes",11,"año",2010)</f>
        <v>0</v>
      </c>
    </row>
    <row r="7" spans="3:10" hidden="1">
      <c r="C7" s="51" t="s">
        <v>39</v>
      </c>
      <c r="D7" s="342">
        <f>GETPIVOTDATA("dato",'[1]tabla dinámica IO men'!$A$96,"categoría","1* y 2 *","mes",10,"año",2010)</f>
        <v>0</v>
      </c>
      <c r="E7" s="342">
        <f>GETPIVOTDATA("dato",'[1]tabla dinámica IO men'!$A$96,"categoría","3 *","mes",10,"año",2010)</f>
        <v>0</v>
      </c>
      <c r="F7" s="342">
        <f>GETPIVOTDATA("dato",'[1]tabla dinámica IO men'!$A$96,"categoría","4 *","mes",10,"año",2010)</f>
        <v>0</v>
      </c>
      <c r="G7" s="342">
        <f>GETPIVOTDATA("dato",'[1]tabla dinámica IO men'!$A$96,"categoría","5 *","mes",10,"año",2010)</f>
        <v>0</v>
      </c>
      <c r="H7" s="342">
        <f>GETPIVOTDATA("dato",'[1]tabla dinámica IO men'!$A$96,"categoría","hoteleros","mes",10,"año",2010)</f>
        <v>0</v>
      </c>
      <c r="I7" s="342">
        <f>GETPIVOTDATA("dato",'[1]tabla dinámica IO men'!$A$96,"categoría","extrahoteleros","mes",10,"año",2010)</f>
        <v>0</v>
      </c>
      <c r="J7" s="342">
        <f>GETPIVOTDATA("dato",'[1]tabla dinámica IO men'!$A$96,"categoría","total","mes",10,"año",2010)</f>
        <v>0</v>
      </c>
    </row>
    <row r="8" spans="3:10" hidden="1">
      <c r="C8" s="51" t="s">
        <v>40</v>
      </c>
      <c r="D8" s="342">
        <f>GETPIVOTDATA("dato",'[1]tabla dinámica IO men'!$A$96,"categoría","1* y 2 *","mes",9,"año",2010)</f>
        <v>0</v>
      </c>
      <c r="E8" s="342">
        <f>GETPIVOTDATA("dato",'[1]tabla dinámica IO men'!$A$96,"categoría","3 *","mes",9,"año",2010)</f>
        <v>0</v>
      </c>
      <c r="F8" s="342">
        <f>GETPIVOTDATA("dato",'[1]tabla dinámica IO men'!$A$96,"categoría","4 *","mes",9,"año",2010)</f>
        <v>0</v>
      </c>
      <c r="G8" s="342">
        <f>GETPIVOTDATA("dato",'[1]tabla dinámica IO men'!$A$96,"categoría","5 *","mes",9,"año",2010)</f>
        <v>0</v>
      </c>
      <c r="H8" s="342">
        <f>GETPIVOTDATA("dato",'[1]tabla dinámica IO men'!$A$96,"categoría","hoteleros","mes",9,"año",2010)</f>
        <v>0</v>
      </c>
      <c r="I8" s="342">
        <f>GETPIVOTDATA("dato",'[1]tabla dinámica IO men'!$A$96,"categoría","extrahoteleros","mes",9,"año",2010)</f>
        <v>0</v>
      </c>
      <c r="J8" s="342">
        <f>GETPIVOTDATA("dato",'[1]tabla dinámica IO men'!$A$96,"categoría","total","mes",9,"año",2010)</f>
        <v>0</v>
      </c>
    </row>
    <row r="9" spans="3:10" hidden="1">
      <c r="C9" s="51" t="s">
        <v>41</v>
      </c>
      <c r="D9" s="342">
        <f>GETPIVOTDATA("dato",'[1]tabla dinámica IO men'!$A$96,"categoría","1* y 2 *","mes",8,"año",2010)</f>
        <v>0</v>
      </c>
      <c r="E9" s="342">
        <f>GETPIVOTDATA("dato",'[1]tabla dinámica IO men'!$A$96,"categoría","3 *","mes",8,"año",2010)</f>
        <v>0</v>
      </c>
      <c r="F9" s="342">
        <f>GETPIVOTDATA("dato",'[1]tabla dinámica IO men'!$A$96,"categoría","4 *","mes",8,"año",2010)</f>
        <v>0</v>
      </c>
      <c r="G9" s="342">
        <f>GETPIVOTDATA("dato",'[1]tabla dinámica IO men'!$A$96,"categoría","5 *","mes",8,"año",2010)</f>
        <v>0</v>
      </c>
      <c r="H9" s="342">
        <f>GETPIVOTDATA("dato",'[1]tabla dinámica IO men'!$A$96,"categoría","hoteleros","mes",8,"año",2010)</f>
        <v>0</v>
      </c>
      <c r="I9" s="342">
        <f>GETPIVOTDATA("dato",'[1]tabla dinámica IO men'!$A$96,"categoría","extrahoteleros","mes",8,"año",2010)</f>
        <v>0</v>
      </c>
      <c r="J9" s="342">
        <f>GETPIVOTDATA("dato",'[1]tabla dinámica IO men'!$A$96,"categoría","total","mes",8,"año",2010)</f>
        <v>0</v>
      </c>
    </row>
    <row r="10" spans="3:10">
      <c r="C10" s="51" t="s">
        <v>42</v>
      </c>
      <c r="D10" s="342">
        <f>GETPIVOTDATA("dato",'[1]tabla dinámica IO men'!$A$96,"categoría","1* y 2 *","mes",7,"año",2010)</f>
        <v>74.749485243651336</v>
      </c>
      <c r="E10" s="342">
        <f>GETPIVOTDATA("dato",'[1]tabla dinámica IO men'!$A$96,"categoría","3 *","mes",7,"año",2010)</f>
        <v>60.431408113551761</v>
      </c>
      <c r="F10" s="342">
        <f>GETPIVOTDATA("dato",'[1]tabla dinámica IO men'!$A$96,"categoría","4 *","mes",7,"año",2010)</f>
        <v>88.945826253328164</v>
      </c>
      <c r="G10" s="342">
        <f>GETPIVOTDATA("dato",'[1]tabla dinámica IO men'!$A$96,"categoría","5 *","mes",7,"año",2010)</f>
        <v>76.279588723800913</v>
      </c>
      <c r="H10" s="342">
        <f>GETPIVOTDATA("dato",'[1]tabla dinámica IO men'!$A$96,"categoría","hoteleros","mes",7,"año",2010)</f>
        <v>81.671960373292222</v>
      </c>
      <c r="I10" s="342">
        <f>GETPIVOTDATA("dato",'[1]tabla dinámica IO men'!$A$96,"categoría","extrahoteleros","mes",7,"año",2010)</f>
        <v>51.150887972619721</v>
      </c>
      <c r="J10" s="342">
        <f>GETPIVOTDATA("dato",'[1]tabla dinámica IO men'!$A$96,"categoría","total","mes",7,"año",2010)</f>
        <v>67.123647350193707</v>
      </c>
    </row>
    <row r="11" spans="3:10">
      <c r="C11" s="51" t="s">
        <v>43</v>
      </c>
      <c r="D11" s="342">
        <f>GETPIVOTDATA("dato",'[1]tabla dinámica IO men'!$A$96,"categoría","1* y 2 *","mes",6,"año",2010)</f>
        <v>65.914893617021278</v>
      </c>
      <c r="E11" s="342">
        <f>GETPIVOTDATA("dato",'[1]tabla dinámica IO men'!$A$96,"categoría","3 *","mes",6,"año",2010)</f>
        <v>50.203770295303478</v>
      </c>
      <c r="F11" s="342">
        <f>GETPIVOTDATA("dato",'[1]tabla dinámica IO men'!$A$96,"categoría","4 *","mes",6,"año",2010)</f>
        <v>70.755027113384642</v>
      </c>
      <c r="G11" s="342">
        <f>GETPIVOTDATA("dato",'[1]tabla dinámica IO men'!$A$96,"categoría","5 *","mes",6,"año",2010)</f>
        <v>61.487886748394629</v>
      </c>
      <c r="H11" s="342">
        <f>GETPIVOTDATA("dato",'[1]tabla dinámica IO men'!$A$96,"categoría","hoteleros","mes",6,"año",2010)</f>
        <v>65.570435753056358</v>
      </c>
      <c r="I11" s="342">
        <f>GETPIVOTDATA("dato",'[1]tabla dinámica IO men'!$A$96,"categoría","extrahoteleros","mes",6,"año",2010)</f>
        <v>38.195257563368763</v>
      </c>
      <c r="J11" s="342">
        <f>GETPIVOTDATA("dato",'[1]tabla dinámica IO men'!$A$96,"categoría","total","mes",6,"año",2010)</f>
        <v>52.37484891481423</v>
      </c>
    </row>
    <row r="12" spans="3:10">
      <c r="C12" s="51" t="s">
        <v>44</v>
      </c>
      <c r="D12" s="342">
        <f>GETPIVOTDATA("dato",'[1]tabla dinámica IO men'!$A$96,"categoría","1* y 2 *","mes",5,"año",2010)</f>
        <v>56.410432395332876</v>
      </c>
      <c r="E12" s="342">
        <f>GETPIVOTDATA("dato",'[1]tabla dinámica IO men'!$A$96,"categoría","3 *","mes",5,"año",2010)</f>
        <v>58.874922228432233</v>
      </c>
      <c r="F12" s="342">
        <f>GETPIVOTDATA("dato",'[1]tabla dinámica IO men'!$A$96,"categoría","4 *","mes",5,"año",2010)</f>
        <v>63.416331063271834</v>
      </c>
      <c r="G12" s="342">
        <f>GETPIVOTDATA("dato",'[1]tabla dinámica IO men'!$A$96,"categoría","5 *","mes",5,"año",2010)</f>
        <v>60.59615275973109</v>
      </c>
      <c r="H12" s="342">
        <f>GETPIVOTDATA("dato",'[1]tabla dinámica IO men'!$A$96,"categoría","hoteleros","mes",5,"año",2010)</f>
        <v>62.078340312516872</v>
      </c>
      <c r="I12" s="342">
        <f>GETPIVOTDATA("dato",'[1]tabla dinámica IO men'!$A$96,"categoría","extrahoteleros","mes",5,"año",2010)</f>
        <v>33.790942420805528</v>
      </c>
      <c r="J12" s="342">
        <f>GETPIVOTDATA("dato",'[1]tabla dinámica IO men'!$A$96,"categoría","total","mes",5,"año",2010)</f>
        <v>48.443038554057559</v>
      </c>
    </row>
    <row r="13" spans="3:10">
      <c r="C13" s="51" t="s">
        <v>45</v>
      </c>
      <c r="D13" s="342">
        <f>GETPIVOTDATA("dato",'[1]tabla dinámica IO men'!$A$96,"categoría","1* y 2 *","mes",4,"año",2010)</f>
        <v>58.468085106382979</v>
      </c>
      <c r="E13" s="342">
        <f>GETPIVOTDATA("dato",'[1]tabla dinámica IO men'!$A$96,"categoría","3 *","mes",4,"año",2010)</f>
        <v>58.509861610548107</v>
      </c>
      <c r="F13" s="342">
        <f>GETPIVOTDATA("dato",'[1]tabla dinámica IO men'!$A$96,"categoría","4 *","mes",4,"año",2010)</f>
        <v>72.485367989308259</v>
      </c>
      <c r="G13" s="342">
        <f>GETPIVOTDATA("dato",'[1]tabla dinámica IO men'!$A$96,"categoría","5 *","mes",4,"año",2010)</f>
        <v>69.451984821949793</v>
      </c>
      <c r="H13" s="342">
        <f>GETPIVOTDATA("dato",'[1]tabla dinámica IO men'!$A$96,"categoría","hoteleros","mes",4,"año",2010)</f>
        <v>69.260690914624874</v>
      </c>
      <c r="I13" s="342">
        <f>GETPIVOTDATA("dato",'[1]tabla dinámica IO men'!$A$96,"categoría","extrahoteleros","mes",4,"año",2010)</f>
        <v>41.276860179885524</v>
      </c>
      <c r="J13" s="342">
        <f>GETPIVOTDATA("dato",'[1]tabla dinámica IO men'!$A$96,"categoría","total","mes",4,"año",2010)</f>
        <v>55.771716853224028</v>
      </c>
    </row>
    <row r="14" spans="3:10">
      <c r="C14" s="51" t="s">
        <v>46</v>
      </c>
      <c r="D14" s="342">
        <f>GETPIVOTDATA("dato",'[1]tabla dinámica IO men'!$A$96,"categoría","1* y 2 *","mes",3,"año",2010)</f>
        <v>75.943719972546333</v>
      </c>
      <c r="E14" s="342">
        <f>GETPIVOTDATA("dato",'[1]tabla dinámica IO men'!$A$96,"categoría","3 *","mes",3,"año",2010)</f>
        <v>65.583840386379691</v>
      </c>
      <c r="F14" s="342">
        <f>GETPIVOTDATA("dato",'[1]tabla dinámica IO men'!$A$96,"categoría","4 *","mes",3,"año",2010)</f>
        <v>68.755955752383414</v>
      </c>
      <c r="G14" s="342">
        <f>GETPIVOTDATA("dato",'[1]tabla dinámica IO men'!$A$96,"categoría","5 *","mes",3,"año",2010)</f>
        <v>69.573752895316645</v>
      </c>
      <c r="H14" s="342">
        <f>GETPIVOTDATA("dato",'[1]tabla dinámica IO men'!$A$96,"categoría","hoteleros","mes",3,"año",2010)</f>
        <v>68.381794885641213</v>
      </c>
      <c r="I14" s="342">
        <f>GETPIVOTDATA("dato",'[1]tabla dinámica IO men'!$A$96,"categoría","extrahoteleros","mes",3,"año",2010)</f>
        <v>46.607865375992404</v>
      </c>
      <c r="J14" s="342">
        <f>GETPIVOTDATA("dato",'[1]tabla dinámica IO men'!$A$96,"categoría","total","mes",3,"año",2010)</f>
        <v>57.886163563593087</v>
      </c>
    </row>
    <row r="15" spans="3:10">
      <c r="C15" s="51" t="s">
        <v>47</v>
      </c>
      <c r="D15" s="342">
        <f>GETPIVOTDATA("dato",'[1]tabla dinámica IO men'!$A$96,"categoría","1* y 2 *","mes",2,"año",2010)</f>
        <v>83.541033434650458</v>
      </c>
      <c r="E15" s="342">
        <f>GETPIVOTDATA("dato",'[1]tabla dinámica IO men'!$A$96,"categoría","3 *","mes",2,"año",2010)</f>
        <v>70.75</v>
      </c>
      <c r="F15" s="342">
        <f>GETPIVOTDATA("dato",'[1]tabla dinámica IO men'!$A$96,"categoría","4 *","mes",2,"año",2010)</f>
        <v>72.5</v>
      </c>
      <c r="G15" s="342">
        <f>GETPIVOTDATA("dato",'[1]tabla dinámica IO men'!$A$96,"categoría","5 *","mes",2,"año",2010)</f>
        <v>65.27</v>
      </c>
      <c r="H15" s="342">
        <f>GETPIVOTDATA("dato",'[1]tabla dinámica IO men'!$A$96,"categoría","hoteleros","mes",2,"año",2010)</f>
        <v>71.33</v>
      </c>
      <c r="I15" s="342">
        <f>GETPIVOTDATA("dato",'[1]tabla dinámica IO men'!$A$96,"categoría","extrahoteleros","mes",2,"año",2010)</f>
        <v>49.64</v>
      </c>
      <c r="J15" s="342">
        <f>GETPIVOTDATA("dato",'[1]tabla dinámica IO men'!$A$96,"categoría","total","mes",2,"año",2010)</f>
        <v>60.88</v>
      </c>
    </row>
    <row r="16" spans="3:10">
      <c r="C16" s="51" t="s">
        <v>48</v>
      </c>
      <c r="D16" s="342">
        <f>GETPIVOTDATA("dato",'[1]tabla dinámica IO men'!$A$96,"categoría","1* y 2 *","mes",1,"año",2010)</f>
        <v>75.586822237474266</v>
      </c>
      <c r="E16" s="342">
        <f>GETPIVOTDATA("dato",'[1]tabla dinámica IO men'!$A$96,"categoría","3 *","mes",1,"año",2010)</f>
        <v>69.900000000000006</v>
      </c>
      <c r="F16" s="342">
        <f>GETPIVOTDATA("dato",'[1]tabla dinámica IO men'!$A$96,"categoría","4 *","mes",1,"año",2010)</f>
        <v>73.709999999999994</v>
      </c>
      <c r="G16" s="342">
        <f>GETPIVOTDATA("dato",'[1]tabla dinámica IO men'!$A$96,"categoría","5 *","mes",1,"año",2010)</f>
        <v>54.87</v>
      </c>
      <c r="H16" s="342">
        <f>GETPIVOTDATA("dato",'[1]tabla dinámica IO men'!$A$96,"categoría","hoteleros","mes",1,"año",2010)</f>
        <v>70.41</v>
      </c>
      <c r="I16" s="342">
        <f>GETPIVOTDATA("dato",'[1]tabla dinámica IO men'!$A$96,"categoría","extrahoteleros","mes",1,"año",2010)</f>
        <v>46.97</v>
      </c>
      <c r="J16" s="342">
        <f>GETPIVOTDATA("dato",'[1]tabla dinámica IO men'!$A$96,"categoría","total","mes",1,"año",2010)</f>
        <v>59.11</v>
      </c>
    </row>
    <row r="17" spans="3:10" ht="30">
      <c r="C17" s="69" t="s">
        <v>54</v>
      </c>
      <c r="D17" s="343">
        <f>'[1]tabla dinámica municipios'!$M$311*100</f>
        <v>69.971898835808915</v>
      </c>
      <c r="E17" s="343">
        <f>'[1]tabla dinámica municipios'!$O$311*100</f>
        <v>61.985202958174767</v>
      </c>
      <c r="F17" s="343">
        <f>'[1]tabla dinámica municipios'!$P$311*100</f>
        <v>72.957887808063489</v>
      </c>
      <c r="G17" s="343">
        <f>'[1]tabla dinámica municipios'!$R$311*100</f>
        <v>65.362406238641242</v>
      </c>
      <c r="H17" s="343">
        <f>'[1]tabla dinámica municipios'!$T$311*100</f>
        <v>69.815886269859277</v>
      </c>
      <c r="I17" s="343">
        <f>'[1]tabla dinámica municipios'!$S$311*100</f>
        <v>43.885093047549042</v>
      </c>
      <c r="J17" s="343">
        <f>'[1]tabla dinámica municipios'!$U$311*100</f>
        <v>57.336689255463426</v>
      </c>
    </row>
    <row r="18" spans="3:10" hidden="1" outlineLevel="1">
      <c r="C18" s="51" t="s">
        <v>37</v>
      </c>
      <c r="D18" s="342">
        <f>GETPIVOTDATA("dato",'[1]tabla dinámica IO men'!$A$96,"categoría","1* y 2 *","mes",12,"año",2009)</f>
        <v>73.424845573095396</v>
      </c>
      <c r="E18" s="342">
        <f>GETPIVOTDATA("dato",'[1]tabla dinámica IO men'!$A$96,"categoría","3 *","mes",12,"año",2009)</f>
        <v>57.139072095685989</v>
      </c>
      <c r="F18" s="342">
        <f>GETPIVOTDATA("dato",'[1]tabla dinámica IO men'!$A$96,"categoría","4 *","mes",12,"año",2009)</f>
        <v>69.723444963273167</v>
      </c>
      <c r="G18" s="342">
        <f>GETPIVOTDATA("dato",'[1]tabla dinámica IO men'!$A$96,"categoría","5 *","mes",12,"año",2009)</f>
        <v>56.988295746502999</v>
      </c>
      <c r="H18" s="342">
        <f>GETPIVOTDATA("dato",'[1]tabla dinámica IO men'!$A$96,"categoría","hoteleros","mes",12,"año",2009)</f>
        <v>65.496761870653899</v>
      </c>
      <c r="I18" s="342">
        <f>GETPIVOTDATA("dato",'[1]tabla dinámica IO men'!$A$96,"categoría","extrahoteleros","mes",12,"año",2009)</f>
        <v>44.785032258064518</v>
      </c>
      <c r="J18" s="342">
        <f>GETPIVOTDATA("dato",'[1]tabla dinámica IO men'!$A$96,"categoría","total","mes",12,"año",2009)</f>
        <v>55.501833903122694</v>
      </c>
    </row>
    <row r="19" spans="3:10" hidden="1" outlineLevel="1">
      <c r="C19" s="51" t="s">
        <v>38</v>
      </c>
      <c r="D19" s="342">
        <f>GETPIVOTDATA("dato",'[1]tabla dinámica IO men'!$A$96,"categoría","1* y 2 *","mes",11,"año",2009)</f>
        <v>69.950354609929079</v>
      </c>
      <c r="E19" s="342">
        <f>GETPIVOTDATA("dato",'[1]tabla dinámica IO men'!$A$96,"categoría","3 *","mes",11,"año",2009)</f>
        <v>62.613669697858612</v>
      </c>
      <c r="F19" s="342">
        <f>GETPIVOTDATA("dato",'[1]tabla dinámica IO men'!$A$96,"categoría","4 *","mes",11,"año",2009)</f>
        <v>71.410049618261979</v>
      </c>
      <c r="G19" s="342">
        <f>GETPIVOTDATA("dato",'[1]tabla dinámica IO men'!$A$96,"categoría","5 *","mes",11,"año",2009)</f>
        <v>78.974188790560476</v>
      </c>
      <c r="H19" s="342">
        <f>GETPIVOTDATA("dato",'[1]tabla dinámica IO men'!$A$96,"categoría","hoteleros","mes",11,"año",2009)</f>
        <v>70.620069438226835</v>
      </c>
      <c r="I19" s="342">
        <f>GETPIVOTDATA("dato",'[1]tabla dinámica IO men'!$A$96,"categoría","extrahoteleros","mes",11,"año",2009)</f>
        <v>45.956053333333337</v>
      </c>
      <c r="J19" s="342">
        <f>GETPIVOTDATA("dato",'[1]tabla dinámica IO men'!$A$96,"categoría","total","mes",11,"año",2009)</f>
        <v>58.71787348600666</v>
      </c>
    </row>
    <row r="20" spans="3:10" hidden="1" outlineLevel="1">
      <c r="C20" s="51" t="s">
        <v>39</v>
      </c>
      <c r="D20" s="342">
        <f>GETPIVOTDATA("dato",'[1]tabla dinámica IO men'!$A$96,"categoría","1* y 2 *","mes",10,"año",2009)</f>
        <v>57.741935483870968</v>
      </c>
      <c r="E20" s="342">
        <f>GETPIVOTDATA("dato",'[1]tabla dinámica IO men'!$A$96,"categoría","3 *","mes",10,"año",2009)</f>
        <v>46.813463412787783</v>
      </c>
      <c r="F20" s="342">
        <f>GETPIVOTDATA("dato",'[1]tabla dinámica IO men'!$A$96,"categoría","4 *","mes",10,"año",2009)</f>
        <v>73.323581137230946</v>
      </c>
      <c r="G20" s="342">
        <f>GETPIVOTDATA("dato",'[1]tabla dinámica IO men'!$A$96,"categoría","5 *","mes",10,"año",2009)</f>
        <v>69.9892948900942</v>
      </c>
      <c r="H20" s="342">
        <f>GETPIVOTDATA("dato",'[1]tabla dinámica IO men'!$A$96,"categoría","hoteleros","mes",10,"año",2009)</f>
        <v>67.260957508156693</v>
      </c>
      <c r="I20" s="342">
        <f>GETPIVOTDATA("dato",'[1]tabla dinámica IO men'!$A$96,"categoría","extrahoteleros","mes",10,"año",2009)</f>
        <v>41.265135483870971</v>
      </c>
      <c r="J20" s="342">
        <f>GETPIVOTDATA("dato",'[1]tabla dinámica IO men'!$A$96,"categoría","total","mes",10,"año",2009)</f>
        <v>54.716067561758173</v>
      </c>
    </row>
    <row r="21" spans="3:10" hidden="1" outlineLevel="1">
      <c r="C21" s="51" t="s">
        <v>40</v>
      </c>
      <c r="D21" s="342">
        <f>GETPIVOTDATA("dato",'[1]tabla dinámica IO men'!$A$96,"categoría","1* y 2 *","mes",9,"año",2009)</f>
        <v>63.113475177304963</v>
      </c>
      <c r="E21" s="342">
        <f>GETPIVOTDATA("dato",'[1]tabla dinámica IO men'!$A$96,"categoría","3 *","mes",9,"año",2009)</f>
        <v>43.63</v>
      </c>
      <c r="F21" s="342">
        <f>GETPIVOTDATA("dato",'[1]tabla dinámica IO men'!$A$96,"categoría","4 *","mes",9,"año",2009)</f>
        <v>71.569999999999993</v>
      </c>
      <c r="G21" s="342">
        <f>GETPIVOTDATA("dato",'[1]tabla dinámica IO men'!$A$96,"categoría","5 *","mes",9,"año",2009)</f>
        <v>72.34</v>
      </c>
      <c r="H21" s="342">
        <f>GETPIVOTDATA("dato",'[1]tabla dinámica IO men'!$A$96,"categoría","hoteleros","mes",9,"año",2009)</f>
        <v>65.87</v>
      </c>
      <c r="I21" s="342">
        <f>GETPIVOTDATA("dato",'[1]tabla dinámica IO men'!$A$96,"categoría","extrahoteleros","mes",9,"año",2009)</f>
        <v>42.19</v>
      </c>
      <c r="J21" s="342">
        <f>GETPIVOTDATA("dato",'[1]tabla dinámica IO men'!$A$96,"categoría","total","mes",9,"año",2009)</f>
        <v>54.44</v>
      </c>
    </row>
    <row r="22" spans="3:10" hidden="1" outlineLevel="1">
      <c r="C22" s="51" t="s">
        <v>41</v>
      </c>
      <c r="D22" s="342">
        <f>GETPIVOTDATA("dato",'[1]tabla dinámica IO men'!$A$96,"categoría","1* y 2 *","mes",8,"año",2009)</f>
        <v>71.228551818805769</v>
      </c>
      <c r="E22" s="342">
        <f>GETPIVOTDATA("dato",'[1]tabla dinámica IO men'!$A$96,"categoría","3 *","mes",8,"año",2009)</f>
        <v>65.61</v>
      </c>
      <c r="F22" s="342">
        <f>GETPIVOTDATA("dato",'[1]tabla dinámica IO men'!$A$96,"categoría","4 *","mes",8,"año",2009)</f>
        <v>86.56</v>
      </c>
      <c r="G22" s="342">
        <f>GETPIVOTDATA("dato",'[1]tabla dinámica IO men'!$A$96,"categoría","5 *","mes",8,"año",2009)</f>
        <v>72.39</v>
      </c>
      <c r="H22" s="342">
        <f>GETPIVOTDATA("dato",'[1]tabla dinámica IO men'!$A$96,"categoría","hoteleros","mes",8,"año",2009)</f>
        <v>80.17</v>
      </c>
      <c r="I22" s="342">
        <f>GETPIVOTDATA("dato",'[1]tabla dinámica IO men'!$A$96,"categoría","extrahoteleros","mes",8,"año",2009)</f>
        <v>58.23</v>
      </c>
      <c r="J22" s="342">
        <f>GETPIVOTDATA("dato",'[1]tabla dinámica IO men'!$A$96,"categoría","total","mes",8,"año",2009)</f>
        <v>69.58</v>
      </c>
    </row>
    <row r="23" spans="3:10" hidden="1" outlineLevel="1">
      <c r="C23" s="51" t="s">
        <v>42</v>
      </c>
      <c r="D23" s="342">
        <f>GETPIVOTDATA("dato",'[1]tabla dinámica IO men'!$A$96,"categoría","1* y 2 *","mes",7,"año",2009)</f>
        <v>71.393273850377483</v>
      </c>
      <c r="E23" s="342">
        <f>GETPIVOTDATA("dato",'[1]tabla dinámica IO men'!$A$96,"categoría","3 *","mes",7,"año",2009)</f>
        <v>64.260000000000005</v>
      </c>
      <c r="F23" s="342">
        <f>GETPIVOTDATA("dato",'[1]tabla dinámica IO men'!$A$96,"categoría","4 *","mes",7,"año",2009)</f>
        <v>81.42</v>
      </c>
      <c r="G23" s="342">
        <f>GETPIVOTDATA("dato",'[1]tabla dinámica IO men'!$A$96,"categoría","5 *","mes",7,"año",2009)</f>
        <v>62.78</v>
      </c>
      <c r="H23" s="342">
        <f>GETPIVOTDATA("dato",'[1]tabla dinámica IO men'!$A$96,"categoría","hoteleros","mes",7,"año",2009)</f>
        <v>75.27</v>
      </c>
      <c r="I23" s="342">
        <f>GETPIVOTDATA("dato",'[1]tabla dinámica IO men'!$A$96,"categoría","extrahoteleros","mes",7,"año",2009)</f>
        <v>46.19</v>
      </c>
      <c r="J23" s="342">
        <f>GETPIVOTDATA("dato",'[1]tabla dinámica IO men'!$A$96,"categoría","total","mes",7,"año",2009)</f>
        <v>61.24</v>
      </c>
    </row>
    <row r="24" spans="3:10" hidden="1" outlineLevel="1">
      <c r="C24" s="51" t="s">
        <v>43</v>
      </c>
      <c r="D24" s="342">
        <f>GETPIVOTDATA("dato",'[1]tabla dinámica IO men'!$A$96,"categoría","1* y 2 *","mes",6,"año",2009)</f>
        <v>55.382978723404257</v>
      </c>
      <c r="E24" s="342">
        <f>GETPIVOTDATA("dato",'[1]tabla dinámica IO men'!$A$96,"categoría","3 *","mes",6,"año",2009)</f>
        <v>55.848426637394802</v>
      </c>
      <c r="F24" s="342">
        <f>GETPIVOTDATA("dato",'[1]tabla dinámica IO men'!$A$96,"categoría","4 *","mes",6,"año",2009)</f>
        <v>63.411063489868965</v>
      </c>
      <c r="G24" s="342">
        <f>GETPIVOTDATA("dato",'[1]tabla dinámica IO men'!$A$96,"categoría","5 *","mes",6,"año",2009)</f>
        <v>53.96828908554572</v>
      </c>
      <c r="H24" s="342">
        <f>GETPIVOTDATA("dato",'[1]tabla dinámica IO men'!$A$96,"categoría","hoteleros","mes",6,"año",2009)</f>
        <v>60.421657788111567</v>
      </c>
      <c r="I24" s="342">
        <f>GETPIVOTDATA("dato",'[1]tabla dinámica IO men'!$A$96,"categoría","extrahoteleros","mes",6,"año",2009)</f>
        <v>37.339780173324876</v>
      </c>
      <c r="J24" s="342">
        <f>GETPIVOTDATA("dato",'[1]tabla dinámica IO men'!$A$96,"categoría","total","mes",6,"año",2009)</f>
        <v>49.310000966670231</v>
      </c>
    </row>
    <row r="25" spans="3:10" hidden="1" outlineLevel="1">
      <c r="C25" s="51" t="s">
        <v>44</v>
      </c>
      <c r="D25" s="342">
        <f>GETPIVOTDATA("dato",'[1]tabla dinámica IO men'!$A$96,"categoría","1* y 2 *","mes",5,"año",2009)</f>
        <v>58.764584763212078</v>
      </c>
      <c r="E25" s="342">
        <f>GETPIVOTDATA("dato",'[1]tabla dinámica IO men'!$A$96,"categoría","3 *","mes",5,"año",2009)</f>
        <v>48.95</v>
      </c>
      <c r="F25" s="342">
        <f>GETPIVOTDATA("dato",'[1]tabla dinámica IO men'!$A$96,"categoría","4 *","mes",5,"año",2009)</f>
        <v>57.25</v>
      </c>
      <c r="G25" s="342">
        <f>GETPIVOTDATA("dato",'[1]tabla dinámica IO men'!$A$96,"categoría","5 *","mes",5,"año",2009)</f>
        <v>57.45</v>
      </c>
      <c r="H25" s="342">
        <f>GETPIVOTDATA("dato",'[1]tabla dinámica IO men'!$A$96,"categoría","hoteleros","mes",5,"año",2009)</f>
        <v>55.52</v>
      </c>
      <c r="I25" s="342">
        <f>GETPIVOTDATA("dato",'[1]tabla dinámica IO men'!$A$96,"categoría","extrahoteleros","mes",5,"año",2009)</f>
        <v>32.450000000000003</v>
      </c>
      <c r="J25" s="342">
        <f>GETPIVOTDATA("dato",'[1]tabla dinámica IO men'!$A$96,"categoría","total","mes",5,"año",2009)</f>
        <v>44.41</v>
      </c>
    </row>
    <row r="26" spans="3:10" hidden="1" outlineLevel="1">
      <c r="C26" s="51" t="s">
        <v>45</v>
      </c>
      <c r="D26" s="342">
        <f>GETPIVOTDATA("dato",'[1]tabla dinámica IO men'!$A$96,"categoría","1* y 2 *","mes",4,"año",2009)</f>
        <v>67.056737588652481</v>
      </c>
      <c r="E26" s="342">
        <f>GETPIVOTDATA("dato",'[1]tabla dinámica IO men'!$A$96,"categoría","3 *","mes",4,"año",2009)</f>
        <v>58.013629710940357</v>
      </c>
      <c r="F26" s="342">
        <f>GETPIVOTDATA("dato",'[1]tabla dinámica IO men'!$A$96,"categoría","4 *","mes",4,"año",2009)</f>
        <v>70.183725824538769</v>
      </c>
      <c r="G26" s="342">
        <f>GETPIVOTDATA("dato",'[1]tabla dinámica IO men'!$A$96,"categoría","5 *","mes",4,"año",2009)</f>
        <v>65.856194690265482</v>
      </c>
      <c r="H26" s="342">
        <f>GETPIVOTDATA("dato",'[1]tabla dinámica IO men'!$A$96,"categoría","hoteleros","mes",4,"año",2009)</f>
        <v>66.954312230822808</v>
      </c>
      <c r="I26" s="342">
        <f>GETPIVOTDATA("dato",'[1]tabla dinámica IO men'!$A$96,"categoría","extrahoteleros","mes",4,"año",2009)</f>
        <v>44.254597336715285</v>
      </c>
      <c r="J26" s="342">
        <f>GETPIVOTDATA("dato",'[1]tabla dinámica IO men'!$A$96,"categoría","total","mes",4,"año",2009)</f>
        <v>56.026629220914671</v>
      </c>
    </row>
    <row r="27" spans="3:10" hidden="1" outlineLevel="1">
      <c r="C27" s="51" t="s">
        <v>46</v>
      </c>
      <c r="D27" s="342">
        <f>GETPIVOTDATA("dato",'[1]tabla dinámica IO men'!$A$96,"categoría","1* y 2 *","mes",3,"año",2009)</f>
        <v>87.577213452299247</v>
      </c>
      <c r="E27" s="342">
        <f>GETPIVOTDATA("dato",'[1]tabla dinámica IO men'!$A$96,"categoría","3 *","mes",3,"año",2009)</f>
        <v>67.680000000000007</v>
      </c>
      <c r="F27" s="342">
        <f>GETPIVOTDATA("dato",'[1]tabla dinámica IO men'!$A$96,"categoría","4 *","mes",3,"año",2009)</f>
        <v>65.73</v>
      </c>
      <c r="G27" s="342">
        <f>GETPIVOTDATA("dato",'[1]tabla dinámica IO men'!$A$96,"categoría","5 *","mes",3,"año",2009)</f>
        <v>60</v>
      </c>
      <c r="H27" s="342">
        <f>GETPIVOTDATA("dato",'[1]tabla dinámica IO men'!$A$96,"categoría","hoteleros","mes",3,"año",2009)</f>
        <v>65.680000000000007</v>
      </c>
      <c r="I27" s="342">
        <f>GETPIVOTDATA("dato",'[1]tabla dinámica IO men'!$A$96,"categoría","extrahoteleros","mes",3,"año",2009)</f>
        <v>47.69</v>
      </c>
      <c r="J27" s="342">
        <f>GETPIVOTDATA("dato",'[1]tabla dinámica IO men'!$A$96,"categoría","total","mes",3,"año",2009)</f>
        <v>57.02</v>
      </c>
    </row>
    <row r="28" spans="3:10" hidden="1" outlineLevel="1">
      <c r="C28" s="51" t="s">
        <v>47</v>
      </c>
      <c r="D28" s="342">
        <f>GETPIVOTDATA("dato",'[1]tabla dinámica IO men'!$A$96,"categoría","1* y 2 *","mes",2,"año",2009)</f>
        <v>74.316109422492403</v>
      </c>
      <c r="E28" s="342">
        <f>GETPIVOTDATA("dato",'[1]tabla dinámica IO men'!$A$96,"categoría","3 *","mes",2,"año",2009)</f>
        <v>71.73</v>
      </c>
      <c r="F28" s="342">
        <f>GETPIVOTDATA("dato",'[1]tabla dinámica IO men'!$A$96,"categoría","4 *","mes",2,"año",2009)</f>
        <v>68.62</v>
      </c>
      <c r="G28" s="342">
        <f>GETPIVOTDATA("dato",'[1]tabla dinámica IO men'!$A$96,"categoría","5 *","mes",2,"año",2009)</f>
        <v>62.97</v>
      </c>
      <c r="H28" s="342">
        <f>GETPIVOTDATA("dato",'[1]tabla dinámica IO men'!$A$96,"categoría","hoteleros","mes",2,"año",2009)</f>
        <v>68.61</v>
      </c>
      <c r="I28" s="342">
        <f>GETPIVOTDATA("dato",'[1]tabla dinámica IO men'!$A$96,"categoría","extrahoteleros","mes",2,"año",2009)</f>
        <v>51.66</v>
      </c>
      <c r="J28" s="342">
        <f>GETPIVOTDATA("dato",'[1]tabla dinámica IO men'!$A$96,"categoría","total","mes",2,"año",2009)</f>
        <v>60.45</v>
      </c>
    </row>
    <row r="29" spans="3:10" hidden="1" outlineLevel="1">
      <c r="C29" s="51" t="s">
        <v>48</v>
      </c>
      <c r="D29" s="342">
        <f>GETPIVOTDATA("dato",'[1]tabla dinámica IO men'!$A$96,"categoría","1* y 2 *","mes",1,"año",2009)</f>
        <v>69.842141386410432</v>
      </c>
      <c r="E29" s="342">
        <f>GETPIVOTDATA("dato",'[1]tabla dinámica IO men'!$A$96,"categoría","3 *","mes",1,"año",2009)</f>
        <v>70.790000000000006</v>
      </c>
      <c r="F29" s="342">
        <f>GETPIVOTDATA("dato",'[1]tabla dinámica IO men'!$A$96,"categoría","4 *","mes",1,"año",2009)</f>
        <v>73.17</v>
      </c>
      <c r="G29" s="342">
        <f>GETPIVOTDATA("dato",'[1]tabla dinámica IO men'!$A$96,"categoría","5 *","mes",1,"año",2009)</f>
        <v>62.8</v>
      </c>
      <c r="H29" s="342">
        <f>GETPIVOTDATA("dato",'[1]tabla dinámica IO men'!$A$96,"categoría","hoteleros","mes",1,"año",2009)</f>
        <v>71.239999999999995</v>
      </c>
      <c r="I29" s="342">
        <f>GETPIVOTDATA("dato",'[1]tabla dinámica IO men'!$A$96,"categoría","extrahoteleros","mes",1,"año",2009)</f>
        <v>50.38</v>
      </c>
      <c r="J29" s="342">
        <f>GETPIVOTDATA("dato",'[1]tabla dinámica IO men'!$A$96,"categoría","total","mes",1,"año",2009)</f>
        <v>61.2</v>
      </c>
    </row>
    <row r="30" spans="3:10" collapsed="1">
      <c r="C30" s="56">
        <v>2009</v>
      </c>
      <c r="D30" s="345">
        <f>'[1]tabla dinámica IO men'!E504</f>
        <v>68.315359953366368</v>
      </c>
      <c r="E30" s="345">
        <f>'[1]tabla dinámica IO men'!E505</f>
        <v>59.459908922770865</v>
      </c>
      <c r="F30" s="345">
        <f>'[1]tabla dinámica IO men'!E506</f>
        <v>71.07107391477544</v>
      </c>
      <c r="G30" s="345">
        <f>'[1]tabla dinámica IO men'!E507</f>
        <v>64.688689538125828</v>
      </c>
      <c r="H30" s="345">
        <f>'[1]tabla dinámica IO men'!E509</f>
        <v>67.751143411049412</v>
      </c>
      <c r="I30" s="345">
        <f>'[1]tabla dinámica IO men'!E508</f>
        <v>45.169416532707785</v>
      </c>
      <c r="J30" s="345">
        <f>'[1]tabla dinámica IO men'!E510</f>
        <v>56.867000801089773</v>
      </c>
    </row>
    <row r="31" spans="3:10" hidden="1" outlineLevel="1">
      <c r="C31" s="51" t="s">
        <v>37</v>
      </c>
      <c r="D31" s="342">
        <f>GETPIVOTDATA("dato",'[1]tabla dinámica IO men'!$A$96,"categoría","1* y 2 *","mes",12,"año",2008)</f>
        <v>74.939068100358426</v>
      </c>
      <c r="E31" s="342">
        <f>GETPIVOTDATA("dato",'[1]tabla dinámica IO men'!$A$96,"categoría","3 *","mes",12,"año",2008)</f>
        <v>71.209999999999994</v>
      </c>
      <c r="F31" s="342">
        <f>GETPIVOTDATA("dato",'[1]tabla dinámica IO men'!$A$96,"categoría","4 *","mes",12,"año",2008)</f>
        <v>70.86</v>
      </c>
      <c r="G31" s="342">
        <f>GETPIVOTDATA("dato",'[1]tabla dinámica IO men'!$A$96,"categoría","5 *","mes",12,"año",2008)</f>
        <v>61.45</v>
      </c>
      <c r="H31" s="342">
        <f>GETPIVOTDATA("dato",'[1]tabla dinámica IO men'!$A$96,"categoría","hoteleros","mes",12,"año",2008)</f>
        <v>69.77</v>
      </c>
      <c r="I31" s="342">
        <f>GETPIVOTDATA("dato",'[1]tabla dinámica IO men'!$A$96,"categoría","extrahoteleros","mes",12,"año",2008)</f>
        <v>48.71</v>
      </c>
      <c r="J31" s="342">
        <f>GETPIVOTDATA("dato",'[1]tabla dinámica IO men'!$A$96,"categoría","total","mes",12,"año",2008)</f>
        <v>59.57</v>
      </c>
    </row>
    <row r="32" spans="3:10" hidden="1" outlineLevel="1">
      <c r="C32" s="51" t="s">
        <v>38</v>
      </c>
      <c r="D32" s="342">
        <f>GETPIVOTDATA("dato",'[1]tabla dinámica IO men'!$A$96,"categoría","1* y 2 *","mes",11,"año",2008)</f>
        <v>66.246117084826764</v>
      </c>
      <c r="E32" s="342">
        <f>GETPIVOTDATA("dato",'[1]tabla dinámica IO men'!$A$96,"categoría","3 *","mes",11,"año",2008)</f>
        <v>75.989999999999995</v>
      </c>
      <c r="F32" s="342">
        <f>GETPIVOTDATA("dato",'[1]tabla dinámica IO men'!$A$96,"categoría","4 *","mes",11,"año",2008)</f>
        <v>77.39</v>
      </c>
      <c r="G32" s="342">
        <f>GETPIVOTDATA("dato",'[1]tabla dinámica IO men'!$A$96,"categoría","5 *","mes",11,"año",2008)</f>
        <v>69.2</v>
      </c>
      <c r="H32" s="342">
        <f>GETPIVOTDATA("dato",'[1]tabla dinámica IO men'!$A$96,"categoría","hoteleros","mes",11,"año",2008)</f>
        <v>75.819999999999993</v>
      </c>
      <c r="I32" s="342">
        <f>GETPIVOTDATA("dato",'[1]tabla dinámica IO men'!$A$96,"categoría","extrahoteleros","mes",11,"año",2008)</f>
        <v>49.37</v>
      </c>
      <c r="J32" s="342">
        <f>GETPIVOTDATA("dato",'[1]tabla dinámica IO men'!$A$96,"categoría","total","mes",11,"año",2008)</f>
        <v>63.01</v>
      </c>
    </row>
    <row r="33" spans="3:10" hidden="1" outlineLevel="1">
      <c r="C33" s="51" t="s">
        <v>39</v>
      </c>
      <c r="D33" s="342">
        <f>GETPIVOTDATA("dato",'[1]tabla dinámica IO men'!$A$96,"categoría","1* y 2 *","mes",10,"año",2008)</f>
        <v>68.611708482676221</v>
      </c>
      <c r="E33" s="342">
        <f>GETPIVOTDATA("dato",'[1]tabla dinámica IO men'!$A$96,"categoría","3 *","mes",10,"año",2008)</f>
        <v>73.489999999999995</v>
      </c>
      <c r="F33" s="342">
        <f>GETPIVOTDATA("dato",'[1]tabla dinámica IO men'!$A$96,"categoría","4 *","mes",10,"año",2008)</f>
        <v>76.41</v>
      </c>
      <c r="G33" s="342">
        <f>GETPIVOTDATA("dato",'[1]tabla dinámica IO men'!$A$96,"categoría","5 *","mes",10,"año",2008)</f>
        <v>82.23</v>
      </c>
      <c r="H33" s="342">
        <f>GETPIVOTDATA("dato",'[1]tabla dinámica IO men'!$A$96,"categoría","hoteleros","mes",10,"año",2008)</f>
        <v>76.39</v>
      </c>
      <c r="I33" s="342">
        <f>GETPIVOTDATA("dato",'[1]tabla dinámica IO men'!$A$96,"categoría","extrahoteleros","mes",10,"año",2008)</f>
        <v>47.63</v>
      </c>
      <c r="J33" s="342">
        <f>GETPIVOTDATA("dato",'[1]tabla dinámica IO men'!$A$96,"categoría","total","mes",10,"año",2008)</f>
        <v>62.45</v>
      </c>
    </row>
    <row r="34" spans="3:10" hidden="1" outlineLevel="1">
      <c r="C34" s="51" t="s">
        <v>40</v>
      </c>
      <c r="D34" s="342">
        <f>GETPIVOTDATA("dato",'[1]tabla dinámica IO men'!$A$96,"categoría","1* y 2 *","mes",9,"año",2008)</f>
        <v>62.556750298685785</v>
      </c>
      <c r="E34" s="342">
        <f>GETPIVOTDATA("dato",'[1]tabla dinámica IO men'!$A$96,"categoría","3 *","mes",9,"año",2008)</f>
        <v>59.31</v>
      </c>
      <c r="F34" s="342">
        <f>GETPIVOTDATA("dato",'[1]tabla dinámica IO men'!$A$96,"categoría","4 *","mes",9,"año",2008)</f>
        <v>78</v>
      </c>
      <c r="G34" s="342">
        <f>GETPIVOTDATA("dato",'[1]tabla dinámica IO men'!$A$96,"categoría","5 *","mes",9,"año",2008)</f>
        <v>81.52</v>
      </c>
      <c r="H34" s="342">
        <f>GETPIVOTDATA("dato",'[1]tabla dinámica IO men'!$A$96,"categoría","hoteleros","mes",9,"año",2008)</f>
        <v>74.09</v>
      </c>
      <c r="I34" s="342">
        <f>GETPIVOTDATA("dato",'[1]tabla dinámica IO men'!$A$96,"categoría","extrahoteleros","mes",9,"año",2008)</f>
        <v>44.62</v>
      </c>
      <c r="J34" s="342">
        <f>GETPIVOTDATA("dato",'[1]tabla dinámica IO men'!$A$96,"categoría","total","mes",9,"año",2008)</f>
        <v>59.81</v>
      </c>
    </row>
    <row r="35" spans="3:10" hidden="1" outlineLevel="1">
      <c r="C35" s="51" t="s">
        <v>41</v>
      </c>
      <c r="D35" s="342">
        <f>GETPIVOTDATA("dato",'[1]tabla dinámica IO men'!$A$96,"categoría","1* y 2 *","mes",8,"año",2008)</f>
        <v>72.143369175627242</v>
      </c>
      <c r="E35" s="342">
        <f>GETPIVOTDATA("dato",'[1]tabla dinámica IO men'!$A$96,"categoría","3 *","mes",8,"año",2008)</f>
        <v>82.63</v>
      </c>
      <c r="F35" s="342">
        <f>GETPIVOTDATA("dato",'[1]tabla dinámica IO men'!$A$96,"categoría","4 *","mes",8,"año",2008)</f>
        <v>93.86</v>
      </c>
      <c r="G35" s="342">
        <f>GETPIVOTDATA("dato",'[1]tabla dinámica IO men'!$A$96,"categoría","5 *","mes",8,"año",2008)</f>
        <v>85.81</v>
      </c>
      <c r="H35" s="342">
        <f>GETPIVOTDATA("dato",'[1]tabla dinámica IO men'!$A$96,"categoría","hoteleros","mes",8,"año",2008)</f>
        <v>89.9</v>
      </c>
      <c r="I35" s="342">
        <f>GETPIVOTDATA("dato",'[1]tabla dinámica IO men'!$A$96,"categoría","extrahoteleros","mes",8,"año",2008)</f>
        <v>64.55</v>
      </c>
      <c r="J35" s="342">
        <f>GETPIVOTDATA("dato",'[1]tabla dinámica IO men'!$A$96,"categoría","total","mes",8,"año",2008)</f>
        <v>77.61</v>
      </c>
    </row>
    <row r="36" spans="3:10" hidden="1" outlineLevel="1">
      <c r="C36" s="51" t="s">
        <v>42</v>
      </c>
      <c r="D36" s="342">
        <f>GETPIVOTDATA("dato",'[1]tabla dinámica IO men'!$A$96,"categoría","1* y 2 *","mes",7,"año",2008)</f>
        <v>65.902031063321388</v>
      </c>
      <c r="E36" s="342">
        <f>GETPIVOTDATA("dato",'[1]tabla dinámica IO men'!$A$96,"categoría","3 *","mes",7,"año",2008)</f>
        <v>72.77</v>
      </c>
      <c r="F36" s="342">
        <f>GETPIVOTDATA("dato",'[1]tabla dinámica IO men'!$A$96,"categoría","4 *","mes",7,"año",2008)</f>
        <v>94.27</v>
      </c>
      <c r="G36" s="342">
        <f>GETPIVOTDATA("dato",'[1]tabla dinámica IO men'!$A$96,"categoría","5 *","mes",7,"año",2008)</f>
        <v>88.48</v>
      </c>
      <c r="H36" s="342">
        <f>GETPIVOTDATA("dato",'[1]tabla dinámica IO men'!$A$96,"categoría","hoteleros","mes",7,"año",2008)</f>
        <v>88.22</v>
      </c>
      <c r="I36" s="342">
        <f>GETPIVOTDATA("dato",'[1]tabla dinámica IO men'!$A$96,"categoría","extrahoteleros","mes",7,"año",2008)</f>
        <v>55.91</v>
      </c>
      <c r="J36" s="342">
        <f>GETPIVOTDATA("dato",'[1]tabla dinámica IO men'!$A$96,"categoría","total","mes",7,"año",2008)</f>
        <v>72.56</v>
      </c>
    </row>
    <row r="37" spans="3:10" hidden="1" outlineLevel="1">
      <c r="C37" s="51" t="s">
        <v>43</v>
      </c>
      <c r="D37" s="342">
        <f>GETPIVOTDATA("dato",'[1]tabla dinámica IO men'!$A$96,"categoría","1* y 2 *","mes",6,"año",2008)</f>
        <v>61.223416965352449</v>
      </c>
      <c r="E37" s="342">
        <f>GETPIVOTDATA("dato",'[1]tabla dinámica IO men'!$A$96,"categoría","3 *","mes",6,"año",2008)</f>
        <v>63.63</v>
      </c>
      <c r="F37" s="342">
        <f>GETPIVOTDATA("dato",'[1]tabla dinámica IO men'!$A$96,"categoría","4 *","mes",6,"año",2008)</f>
        <v>75.16</v>
      </c>
      <c r="G37" s="342">
        <f>GETPIVOTDATA("dato",'[1]tabla dinámica IO men'!$A$96,"categoría","5 *","mes",6,"año",2008)</f>
        <v>82.8</v>
      </c>
      <c r="H37" s="342">
        <f>GETPIVOTDATA("dato",'[1]tabla dinámica IO men'!$A$96,"categoría","hoteleros","mes",6,"año",2008)</f>
        <v>73.180000000000007</v>
      </c>
      <c r="I37" s="342">
        <f>GETPIVOTDATA("dato",'[1]tabla dinámica IO men'!$A$96,"categoría","extrahoteleros","mes",6,"año",2008)</f>
        <v>45.76</v>
      </c>
      <c r="J37" s="342">
        <f>GETPIVOTDATA("dato",'[1]tabla dinámica IO men'!$A$96,"categoría","total","mes",6,"año",2008)</f>
        <v>59.98</v>
      </c>
    </row>
    <row r="38" spans="3:10" hidden="1" outlineLevel="1">
      <c r="C38" s="51" t="s">
        <v>44</v>
      </c>
      <c r="D38" s="342">
        <f>GETPIVOTDATA("dato",'[1]tabla dinámica IO men'!$A$96,"categoría","1* y 2 *","mes",5,"año",2008)</f>
        <v>64.152927120669062</v>
      </c>
      <c r="E38" s="342">
        <f>GETPIVOTDATA("dato",'[1]tabla dinámica IO men'!$A$96,"categoría","3 *","mes",5,"año",2008)</f>
        <v>67.099999999999994</v>
      </c>
      <c r="F38" s="342">
        <f>GETPIVOTDATA("dato",'[1]tabla dinámica IO men'!$A$96,"categoría","4 *","mes",5,"año",2008)</f>
        <v>68.45</v>
      </c>
      <c r="G38" s="342">
        <f>GETPIVOTDATA("dato",'[1]tabla dinámica IO men'!$A$96,"categoría","5 *","mes",5,"año",2008)</f>
        <v>87.35</v>
      </c>
      <c r="H38" s="342">
        <f>GETPIVOTDATA("dato",'[1]tabla dinámica IO men'!$A$96,"categoría","hoteleros","mes",5,"año",2008)</f>
        <v>70.489999999999995</v>
      </c>
      <c r="I38" s="342">
        <f>GETPIVOTDATA("dato",'[1]tabla dinámica IO men'!$A$96,"categoría","extrahoteleros","mes",5,"año",2008)</f>
        <v>42.96</v>
      </c>
      <c r="J38" s="342">
        <f>GETPIVOTDATA("dato",'[1]tabla dinámica IO men'!$A$96,"categoría","total","mes",5,"año",2008)</f>
        <v>57.23</v>
      </c>
    </row>
    <row r="39" spans="3:10" hidden="1" outlineLevel="1">
      <c r="C39" s="51" t="s">
        <v>45</v>
      </c>
      <c r="D39" s="342">
        <f>GETPIVOTDATA("dato",'[1]tabla dinámica IO men'!$A$96,"categoría","1* y 2 *","mes",4,"año",2008)</f>
        <v>63.221027479091994</v>
      </c>
      <c r="E39" s="342">
        <f>GETPIVOTDATA("dato",'[1]tabla dinámica IO men'!$A$96,"categoría","3 *","mes",4,"año",2008)</f>
        <v>76.099999999999994</v>
      </c>
      <c r="F39" s="342">
        <f>GETPIVOTDATA("dato",'[1]tabla dinámica IO men'!$A$96,"categoría","4 *","mes",4,"año",2008)</f>
        <v>80.459999999999994</v>
      </c>
      <c r="G39" s="342">
        <f>GETPIVOTDATA("dato",'[1]tabla dinámica IO men'!$A$96,"categoría","5 *","mes",4,"año",2008)</f>
        <v>90.05</v>
      </c>
      <c r="H39" s="342">
        <f>GETPIVOTDATA("dato",'[1]tabla dinámica IO men'!$A$96,"categoría","hoteleros","mes",4,"año",2008)</f>
        <v>80.37</v>
      </c>
      <c r="I39" s="342">
        <f>GETPIVOTDATA("dato",'[1]tabla dinámica IO men'!$A$96,"categoría","extrahoteleros","mes",4,"año",2008)</f>
        <v>48.32</v>
      </c>
      <c r="J39" s="342">
        <f>GETPIVOTDATA("dato",'[1]tabla dinámica IO men'!$A$96,"categoría","total","mes",4,"año",2008)</f>
        <v>64.94</v>
      </c>
    </row>
    <row r="40" spans="3:10" hidden="1" outlineLevel="1">
      <c r="C40" s="51" t="s">
        <v>46</v>
      </c>
      <c r="D40" s="342">
        <f>GETPIVOTDATA("dato",'[1]tabla dinámica IO men'!$A$96,"categoría","1* y 2 *","mes",3,"año",2008)</f>
        <v>74.026284348864991</v>
      </c>
      <c r="E40" s="342">
        <f>GETPIVOTDATA("dato",'[1]tabla dinámica IO men'!$A$96,"categoría","3 *","mes",3,"año",2008)</f>
        <v>80.5</v>
      </c>
      <c r="F40" s="342">
        <f>GETPIVOTDATA("dato",'[1]tabla dinámica IO men'!$A$96,"categoría","4 *","mes",3,"año",2008)</f>
        <v>84.01</v>
      </c>
      <c r="G40" s="342">
        <f>GETPIVOTDATA("dato",'[1]tabla dinámica IO men'!$A$96,"categoría","5 *","mes",3,"año",2008)</f>
        <v>91.93</v>
      </c>
      <c r="H40" s="342">
        <f>GETPIVOTDATA("dato",'[1]tabla dinámica IO men'!$A$96,"categoría","hoteleros","mes",3,"año",2008)</f>
        <v>84.01</v>
      </c>
      <c r="I40" s="342">
        <f>GETPIVOTDATA("dato",'[1]tabla dinámica IO men'!$A$96,"categoría","extrahoteleros","mes",3,"año",2008)</f>
        <v>59.2</v>
      </c>
      <c r="J40" s="342">
        <f>GETPIVOTDATA("dato",'[1]tabla dinámica IO men'!$A$96,"categoría","total","mes",3,"año",2008)</f>
        <v>72.06</v>
      </c>
    </row>
    <row r="41" spans="3:10" hidden="1" outlineLevel="1">
      <c r="C41" s="51" t="s">
        <v>47</v>
      </c>
      <c r="D41" s="342">
        <f>GETPIVOTDATA("dato",'[1]tabla dinámica IO men'!$A$96,"categoría","1* y 2 *","mes",2,"año",2008)</f>
        <v>72.53524492234169</v>
      </c>
      <c r="E41" s="342">
        <f>GETPIVOTDATA("dato",'[1]tabla dinámica IO men'!$A$96,"categoría","3 *","mes",2,"año",2008)</f>
        <v>84.18</v>
      </c>
      <c r="F41" s="342">
        <f>GETPIVOTDATA("dato",'[1]tabla dinámica IO men'!$A$96,"categoría","4 *","mes",2,"año",2008)</f>
        <v>79.94</v>
      </c>
      <c r="G41" s="342">
        <f>GETPIVOTDATA("dato",'[1]tabla dinámica IO men'!$A$96,"categoría","5 *","mes",2,"año",2008)</f>
        <v>87.77</v>
      </c>
      <c r="H41" s="342">
        <f>GETPIVOTDATA("dato",'[1]tabla dinámica IO men'!$A$96,"categoría","hoteleros","mes",2,"año",2008)</f>
        <v>81.91</v>
      </c>
      <c r="I41" s="342">
        <f>GETPIVOTDATA("dato",'[1]tabla dinámica IO men'!$A$96,"categoría","extrahoteleros","mes",2,"año",2008)</f>
        <v>59.72</v>
      </c>
      <c r="J41" s="342">
        <f>GETPIVOTDATA("dato",'[1]tabla dinámica IO men'!$A$96,"categoría","total","mes",2,"año",2008)</f>
        <v>71.23</v>
      </c>
    </row>
    <row r="42" spans="3:10" hidden="1" outlineLevel="1">
      <c r="C42" s="51" t="s">
        <v>48</v>
      </c>
      <c r="D42" s="342">
        <f>GETPIVOTDATA("dato",'[1]tabla dinámica IO men'!$A$96,"categoría","1* y 2 *","mes",1,"año",2008)</f>
        <v>76.955794504181597</v>
      </c>
      <c r="E42" s="342">
        <f>GETPIVOTDATA("dato",'[1]tabla dinámica IO men'!$A$96,"categoría","3 *","mes",1,"año",2008)</f>
        <v>80.709999999999994</v>
      </c>
      <c r="F42" s="342">
        <f>GETPIVOTDATA("dato",'[1]tabla dinámica IO men'!$A$96,"categoría","4 *","mes",1,"año",2008)</f>
        <v>81.44</v>
      </c>
      <c r="G42" s="342">
        <f>GETPIVOTDATA("dato",'[1]tabla dinámica IO men'!$A$96,"categoría","5 *","mes",1,"año",2008)</f>
        <v>79.989999999999995</v>
      </c>
      <c r="H42" s="342">
        <f>GETPIVOTDATA("dato",'[1]tabla dinámica IO men'!$A$96,"categoría","hoteleros","mes",1,"año",2008)</f>
        <v>81</v>
      </c>
      <c r="I42" s="342">
        <f>GETPIVOTDATA("dato",'[1]tabla dinámica IO men'!$A$96,"categoría","extrahoteleros","mes",1,"año",2008)</f>
        <v>56.51</v>
      </c>
      <c r="J42" s="342">
        <f>GETPIVOTDATA("dato",'[1]tabla dinámica IO men'!$A$96,"categoría","total","mes",1,"año",2008)</f>
        <v>69.2</v>
      </c>
    </row>
    <row r="43" spans="3:10" collapsed="1">
      <c r="C43" s="58">
        <v>2008</v>
      </c>
      <c r="D43" s="346">
        <f>'[1]tabla dinámica IO men'!D504</f>
        <v>69.666464278486146</v>
      </c>
      <c r="E43" s="346">
        <f>'[1]tabla dinámica IO men'!D505</f>
        <v>74.037409195882049</v>
      </c>
      <c r="F43" s="346">
        <f>'[1]tabla dinámica IO men'!D506</f>
        <v>80.046452278958554</v>
      </c>
      <c r="G43" s="346">
        <f>'[1]tabla dinámica IO men'!D507</f>
        <v>82.368074228274594</v>
      </c>
      <c r="H43" s="346">
        <f>'[1]tabla dinámica IO men'!D509</f>
        <v>78.772487923790777</v>
      </c>
      <c r="I43" s="346">
        <f>'[1]tabla dinámica IO men'!D508</f>
        <v>51.951141874959497</v>
      </c>
      <c r="J43" s="346">
        <f>'[1]tabla dinámica IO men'!D510</f>
        <v>65.817717394308161</v>
      </c>
    </row>
    <row r="44" spans="3:10" hidden="1" outlineLevel="1">
      <c r="C44" s="51" t="s">
        <v>37</v>
      </c>
      <c r="D44" s="342">
        <f>GETPIVOTDATA("dato",'[1]tabla dinámica IO men'!$A$96,"categoría","1* y 2 *","mes",12,"año",2007)</f>
        <v>75.031239875966122</v>
      </c>
      <c r="E44" s="342">
        <f>GETPIVOTDATA("dato",'[1]tabla dinámica IO men'!$A$96,"categoría","3 *","mes",12,"año",2007)</f>
        <v>71.34</v>
      </c>
      <c r="F44" s="342">
        <f>GETPIVOTDATA("dato",'[1]tabla dinámica IO men'!$A$96,"categoría","4 *","mes",12,"año",2007)</f>
        <v>75.77</v>
      </c>
      <c r="G44" s="342">
        <f>GETPIVOTDATA("dato",'[1]tabla dinámica IO men'!$A$96,"categoría","5 *","mes",12,"año",2007)</f>
        <v>78.84</v>
      </c>
      <c r="H44" s="342">
        <f>GETPIVOTDATA("dato",'[1]tabla dinámica IO men'!$A$96,"categoría","hoteleros","mes",12,"año",2007)</f>
        <v>75.099999999999994</v>
      </c>
      <c r="I44" s="342">
        <f>GETPIVOTDATA("dato",'[1]tabla dinámica IO men'!$A$96,"categoría","extrahoteleros","mes",12,"año",2007)</f>
        <v>53.27</v>
      </c>
      <c r="J44" s="342">
        <f>GETPIVOTDATA("dato",'[1]tabla dinámica IO men'!$A$96,"categoría","total","mes",12,"año",2007)</f>
        <v>64.53</v>
      </c>
    </row>
    <row r="45" spans="3:10" hidden="1" outlineLevel="1">
      <c r="C45" s="51" t="s">
        <v>38</v>
      </c>
      <c r="D45" s="342">
        <f>GETPIVOTDATA("dato",'[1]tabla dinámica IO men'!$A$96,"categoría","1* y 2 *","mes",11,"año",2007)</f>
        <v>76.179016059610305</v>
      </c>
      <c r="E45" s="342">
        <f>GETPIVOTDATA("dato",'[1]tabla dinámica IO men'!$A$96,"categoría","3 *","mes",11,"año",2007)</f>
        <v>75.540000000000006</v>
      </c>
      <c r="F45" s="342">
        <f>GETPIVOTDATA("dato",'[1]tabla dinámica IO men'!$A$96,"categoría","4 *","mes",11,"año",2007)</f>
        <v>81.13</v>
      </c>
      <c r="G45" s="342">
        <f>GETPIVOTDATA("dato",'[1]tabla dinámica IO men'!$A$96,"categoría","5 *","mes",11,"año",2007)</f>
        <v>83.02</v>
      </c>
      <c r="H45" s="342">
        <f>GETPIVOTDATA("dato",'[1]tabla dinámica IO men'!$A$96,"categoría","hoteleros","mes",11,"año",2007)</f>
        <v>80</v>
      </c>
      <c r="I45" s="342">
        <f>GETPIVOTDATA("dato",'[1]tabla dinámica IO men'!$A$96,"categoría","extrahoteleros","mes",11,"año",2007)</f>
        <v>54.88</v>
      </c>
      <c r="J45" s="342">
        <f>GETPIVOTDATA("dato",'[1]tabla dinámica IO men'!$A$96,"categoría","total","mes",11,"año",2007)</f>
        <v>67.84</v>
      </c>
    </row>
    <row r="46" spans="3:10" hidden="1" outlineLevel="1">
      <c r="C46" s="51" t="s">
        <v>39</v>
      </c>
      <c r="D46" s="342">
        <f>GETPIVOTDATA("dato",'[1]tabla dinámica IO men'!$A$96,"categoría","1* y 2 *","mes",10,"año",2007)</f>
        <v>72.596843615494976</v>
      </c>
      <c r="E46" s="342">
        <f>GETPIVOTDATA("dato",'[1]tabla dinámica IO men'!$A$96,"categoría","3 *","mes",10,"año",2007)</f>
        <v>65.959999999999994</v>
      </c>
      <c r="F46" s="342">
        <f>GETPIVOTDATA("dato",'[1]tabla dinámica IO men'!$A$96,"categoría","4 *","mes",10,"año",2007)</f>
        <v>81.96</v>
      </c>
      <c r="G46" s="342">
        <f>GETPIVOTDATA("dato",'[1]tabla dinámica IO men'!$A$96,"categoría","5 *","mes",10,"año",2007)</f>
        <v>86.58</v>
      </c>
      <c r="H46" s="342">
        <f>GETPIVOTDATA("dato",'[1]tabla dinámica IO men'!$A$96,"categoría","hoteleros","mes",10,"año",2007)</f>
        <v>78.569999999999993</v>
      </c>
      <c r="I46" s="342">
        <f>GETPIVOTDATA("dato",'[1]tabla dinámica IO men'!$A$96,"categoría","extrahoteleros","mes",10,"año",2007)</f>
        <v>51</v>
      </c>
      <c r="J46" s="342">
        <f>GETPIVOTDATA("dato",'[1]tabla dinámica IO men'!$A$96,"categoría","total","mes",10,"año",2007)</f>
        <v>65.23</v>
      </c>
    </row>
    <row r="47" spans="3:10" hidden="1" outlineLevel="1">
      <c r="C47" s="51" t="s">
        <v>40</v>
      </c>
      <c r="D47" s="342">
        <f>GETPIVOTDATA("dato",'[1]tabla dinámica IO men'!$A$96,"categoría","1* y 2 *","mes",9,"año",2007)</f>
        <v>70.329060026843152</v>
      </c>
      <c r="E47" s="342">
        <f>GETPIVOTDATA("dato",'[1]tabla dinámica IO men'!$A$96,"categoría","3 *","mes",9,"año",2007)</f>
        <v>66.2</v>
      </c>
      <c r="F47" s="342">
        <f>GETPIVOTDATA("dato",'[1]tabla dinámica IO men'!$A$96,"categoría","4 *","mes",9,"año",2007)</f>
        <v>78.400000000000006</v>
      </c>
      <c r="G47" s="342">
        <f>GETPIVOTDATA("dato",'[1]tabla dinámica IO men'!$A$96,"categoría","5 *","mes",9,"año",2007)</f>
        <v>82.58</v>
      </c>
      <c r="H47" s="342">
        <f>GETPIVOTDATA("dato",'[1]tabla dinámica IO men'!$A$96,"categoría","hoteleros","mes",9,"año",2007)</f>
        <v>75.930000000000007</v>
      </c>
      <c r="I47" s="342">
        <f>GETPIVOTDATA("dato",'[1]tabla dinámica IO men'!$A$96,"categoría","extrahoteleros","mes",9,"año",2007)</f>
        <v>45.02</v>
      </c>
      <c r="J47" s="342">
        <f>GETPIVOTDATA("dato",'[1]tabla dinámica IO men'!$A$96,"categoría","total","mes",9,"año",2007)</f>
        <v>60.97</v>
      </c>
    </row>
    <row r="48" spans="3:10" hidden="1" outlineLevel="1">
      <c r="C48" s="51" t="s">
        <v>41</v>
      </c>
      <c r="D48" s="342">
        <f>GETPIVOTDATA("dato",'[1]tabla dinámica IO men'!$A$96,"categoría","1* y 2 *","mes",8,"año",2007)</f>
        <v>51.599018836488177</v>
      </c>
      <c r="E48" s="342">
        <f>GETPIVOTDATA("dato",'[1]tabla dinámica IO men'!$A$96,"categoría","3 *","mes",8,"año",2007)</f>
        <v>88.1</v>
      </c>
      <c r="F48" s="342">
        <f>GETPIVOTDATA("dato",'[1]tabla dinámica IO men'!$A$96,"categoría","4 *","mes",8,"año",2007)</f>
        <v>93.01</v>
      </c>
      <c r="G48" s="342">
        <f>GETPIVOTDATA("dato",'[1]tabla dinámica IO men'!$A$96,"categoría","5 *","mes",8,"año",2007)</f>
        <v>89.2</v>
      </c>
      <c r="H48" s="342">
        <f>GETPIVOTDATA("dato",'[1]tabla dinámica IO men'!$A$96,"categoría","hoteleros","mes",8,"año",2007)</f>
        <v>90.53</v>
      </c>
      <c r="I48" s="342">
        <f>GETPIVOTDATA("dato",'[1]tabla dinámica IO men'!$A$96,"categoría","extrahoteleros","mes",8,"año",2007)</f>
        <v>63.97</v>
      </c>
      <c r="J48" s="342">
        <f>GETPIVOTDATA("dato",'[1]tabla dinámica IO men'!$A$96,"categoría","total","mes",8,"año",2007)</f>
        <v>77.680000000000007</v>
      </c>
    </row>
    <row r="49" spans="3:10" hidden="1" outlineLevel="1">
      <c r="C49" s="51" t="s">
        <v>42</v>
      </c>
      <c r="D49" s="342">
        <f>GETPIVOTDATA("dato",'[1]tabla dinámica IO men'!$A$96,"categoría","1* y 2 *","mes",7,"año",2007)</f>
        <v>51.418521775350584</v>
      </c>
      <c r="E49" s="342">
        <f>GETPIVOTDATA("dato",'[1]tabla dinámica IO men'!$A$96,"categoría","3 *","mes",7,"año",2007)</f>
        <v>70.11</v>
      </c>
      <c r="F49" s="342">
        <f>GETPIVOTDATA("dato",'[1]tabla dinámica IO men'!$A$96,"categoría","4 *","mes",7,"año",2007)</f>
        <v>89.5</v>
      </c>
      <c r="G49" s="342">
        <f>GETPIVOTDATA("dato",'[1]tabla dinámica IO men'!$A$96,"categoría","5 *","mes",7,"año",2007)</f>
        <v>72.11</v>
      </c>
      <c r="H49" s="342">
        <f>GETPIVOTDATA("dato",'[1]tabla dinámica IO men'!$A$96,"categoría","hoteleros","mes",7,"año",2007)</f>
        <v>81.89</v>
      </c>
      <c r="I49" s="342">
        <f>GETPIVOTDATA("dato",'[1]tabla dinámica IO men'!$A$96,"categoría","extrahoteleros","mes",7,"año",2007)</f>
        <v>51.15</v>
      </c>
      <c r="J49" s="342">
        <f>GETPIVOTDATA("dato",'[1]tabla dinámica IO men'!$A$96,"categoría","total","mes",7,"año",2007)</f>
        <v>67.010000000000005</v>
      </c>
    </row>
    <row r="50" spans="3:10" hidden="1" outlineLevel="1">
      <c r="C50" s="51" t="s">
        <v>43</v>
      </c>
      <c r="D50" s="342">
        <f>GETPIVOTDATA("dato",'[1]tabla dinámica IO men'!$A$96,"categoría","1* y 2 *","mes",6,"año",2007)</f>
        <v>38.612066561308914</v>
      </c>
      <c r="E50" s="342">
        <f>GETPIVOTDATA("dato",'[1]tabla dinámica IO men'!$A$96,"categoría","3 *","mes",6,"año",2007)</f>
        <v>56.47</v>
      </c>
      <c r="F50" s="342">
        <f>GETPIVOTDATA("dato",'[1]tabla dinámica IO men'!$A$96,"categoría","4 *","mes",6,"año",2007)</f>
        <v>72.37</v>
      </c>
      <c r="G50" s="342">
        <f>GETPIVOTDATA("dato",'[1]tabla dinámica IO men'!$A$96,"categoría","5 *","mes",6,"año",2007)</f>
        <v>63.62</v>
      </c>
      <c r="H50" s="342">
        <f>GETPIVOTDATA("dato",'[1]tabla dinámica IO men'!$A$96,"categoría","hoteleros","mes",6,"año",2007)</f>
        <v>66.73</v>
      </c>
      <c r="I50" s="342">
        <f>GETPIVOTDATA("dato",'[1]tabla dinámica IO men'!$A$96,"categoría","extrahoteleros","mes",6,"año",2007)</f>
        <v>40.25</v>
      </c>
      <c r="J50" s="342">
        <f>GETPIVOTDATA("dato",'[1]tabla dinámica IO men'!$A$96,"categoría","total","mes",6,"año",2007)</f>
        <v>53.87</v>
      </c>
    </row>
    <row r="51" spans="3:10" hidden="1" outlineLevel="1">
      <c r="C51" s="51" t="s">
        <v>44</v>
      </c>
      <c r="D51" s="342">
        <f>GETPIVOTDATA("dato",'[1]tabla dinámica IO men'!$A$96,"categoría","1* y 2 *","mes",5,"año",2007)</f>
        <v>39.527749372501624</v>
      </c>
      <c r="E51" s="342">
        <f>GETPIVOTDATA("dato",'[1]tabla dinámica IO men'!$A$96,"categoría","3 *","mes",5,"año",2007)</f>
        <v>43.7</v>
      </c>
      <c r="F51" s="342">
        <f>GETPIVOTDATA("dato",'[1]tabla dinámica IO men'!$A$96,"categoría","4 *","mes",5,"año",2007)</f>
        <v>63.81</v>
      </c>
      <c r="G51" s="342">
        <f>GETPIVOTDATA("dato",'[1]tabla dinámica IO men'!$A$96,"categoría","5 *","mes",5,"año",2007)</f>
        <v>63.49</v>
      </c>
      <c r="H51" s="342">
        <f>GETPIVOTDATA("dato",'[1]tabla dinámica IO men'!$A$96,"categoría","hoteleros","mes",5,"año",2007)</f>
        <v>58.38</v>
      </c>
      <c r="I51" s="342">
        <f>GETPIVOTDATA("dato",'[1]tabla dinámica IO men'!$A$96,"categoría","extrahoteleros","mes",5,"año",2007)</f>
        <v>36.44</v>
      </c>
      <c r="J51" s="342">
        <f>GETPIVOTDATA("dato",'[1]tabla dinámica IO men'!$A$96,"categoría","total","mes",5,"año",2007)</f>
        <v>47.73</v>
      </c>
    </row>
    <row r="52" spans="3:10" hidden="1" outlineLevel="1">
      <c r="C52" s="51" t="s">
        <v>45</v>
      </c>
      <c r="D52" s="342">
        <f>GETPIVOTDATA("dato",'[1]tabla dinámica IO men'!$A$96,"categoría","1* y 2 *","mes",4,"año",2007)</f>
        <v>38.849121502277583</v>
      </c>
      <c r="E52" s="342">
        <f>GETPIVOTDATA("dato",'[1]tabla dinámica IO men'!$A$96,"categoría","3 *","mes",4,"año",2007)</f>
        <v>62.19</v>
      </c>
      <c r="F52" s="342">
        <f>GETPIVOTDATA("dato",'[1]tabla dinámica IO men'!$A$96,"categoría","4 *","mes",4,"año",2007)</f>
        <v>80.459999999999994</v>
      </c>
      <c r="G52" s="342">
        <f>GETPIVOTDATA("dato",'[1]tabla dinámica IO men'!$A$96,"categoría","5 *","mes",4,"año",2007)</f>
        <v>84.13</v>
      </c>
      <c r="H52" s="342">
        <f>GETPIVOTDATA("dato",'[1]tabla dinámica IO men'!$A$96,"categoría","hoteleros","mes",4,"año",2007)</f>
        <v>75.680000000000007</v>
      </c>
      <c r="I52" s="342">
        <f>GETPIVOTDATA("dato",'[1]tabla dinámica IO men'!$A$96,"categoría","extrahoteleros","mes",4,"año",2007)</f>
        <v>50.89</v>
      </c>
      <c r="J52" s="342">
        <f>GETPIVOTDATA("dato",'[1]tabla dinámica IO men'!$A$96,"categoría","total","mes",4,"año",2007)</f>
        <v>63.64</v>
      </c>
    </row>
    <row r="53" spans="3:10" hidden="1" outlineLevel="1">
      <c r="C53" s="51" t="s">
        <v>46</v>
      </c>
      <c r="D53" s="342">
        <f>GETPIVOTDATA("dato",'[1]tabla dinámica IO men'!$A$96,"categoría","1* y 2 *","mes",3,"año",2007)</f>
        <v>77.591335874314396</v>
      </c>
      <c r="E53" s="342">
        <f>GETPIVOTDATA("dato",'[1]tabla dinámica IO men'!$A$96,"categoría","3 *","mes",3,"año",2007)</f>
        <v>70.91</v>
      </c>
      <c r="F53" s="342">
        <f>GETPIVOTDATA("dato",'[1]tabla dinámica IO men'!$A$96,"categoría","4 *","mes",3,"año",2007)</f>
        <v>76.53</v>
      </c>
      <c r="G53" s="342">
        <f>GETPIVOTDATA("dato",'[1]tabla dinámica IO men'!$A$96,"categoría","5 *","mes",3,"año",2007)</f>
        <v>79.39</v>
      </c>
      <c r="H53" s="342">
        <f>GETPIVOTDATA("dato",'[1]tabla dinámica IO men'!$A$96,"categoría","hoteleros","mes",3,"año",2007)</f>
        <v>75.55</v>
      </c>
      <c r="I53" s="342">
        <f>GETPIVOTDATA("dato",'[1]tabla dinámica IO men'!$A$96,"categoría","extrahoteleros","mes",3,"año",2007)</f>
        <v>58.62</v>
      </c>
      <c r="J53" s="342">
        <f>GETPIVOTDATA("dato",'[1]tabla dinámica IO men'!$A$96,"categoría","total","mes",3,"año",2007)</f>
        <v>67.33</v>
      </c>
    </row>
    <row r="54" spans="3:10" hidden="1" outlineLevel="1">
      <c r="C54" s="51" t="s">
        <v>47</v>
      </c>
      <c r="D54" s="342">
        <f>GETPIVOTDATA("dato",'[1]tabla dinámica IO men'!$A$96,"categoría","1* y 2 *","mes",2,"año",2007)</f>
        <v>75.857581109974902</v>
      </c>
      <c r="E54" s="342">
        <f>GETPIVOTDATA("dato",'[1]tabla dinámica IO men'!$A$96,"categoría","3 *","mes",2,"año",2007)</f>
        <v>71.92</v>
      </c>
      <c r="F54" s="342">
        <f>GETPIVOTDATA("dato",'[1]tabla dinámica IO men'!$A$96,"categoría","4 *","mes",2,"año",2007)</f>
        <v>75.67</v>
      </c>
      <c r="G54" s="342">
        <f>GETPIVOTDATA("dato",'[1]tabla dinámica IO men'!$A$96,"categoría","5 *","mes",2,"año",2007)</f>
        <v>85.62</v>
      </c>
      <c r="H54" s="342">
        <f>GETPIVOTDATA("dato",'[1]tabla dinámica IO men'!$A$96,"categoría","hoteleros","mes",2,"año",2007)</f>
        <v>76.19</v>
      </c>
      <c r="I54" s="342">
        <f>GETPIVOTDATA("dato",'[1]tabla dinámica IO men'!$A$96,"categoría","extrahoteleros","mes",2,"año",2007)</f>
        <v>58.85</v>
      </c>
      <c r="J54" s="342">
        <f>GETPIVOTDATA("dato",'[1]tabla dinámica IO men'!$A$96,"categoría","total","mes",2,"año",2007)</f>
        <v>67.77</v>
      </c>
    </row>
    <row r="55" spans="3:10" hidden="1" outlineLevel="1">
      <c r="C55" s="51" t="s">
        <v>48</v>
      </c>
      <c r="D55" s="342">
        <f>GETPIVOTDATA("dato",'[1]tabla dinámica IO men'!$A$96,"categoría","1* y 2 *","mes",1,"año",2007)</f>
        <v>77.721483685042301</v>
      </c>
      <c r="E55" s="342">
        <f>GETPIVOTDATA("dato",'[1]tabla dinámica IO men'!$A$96,"categoría","3 *","mes",1,"año",2007)</f>
        <v>68.88</v>
      </c>
      <c r="F55" s="342">
        <f>GETPIVOTDATA("dato",'[1]tabla dinámica IO men'!$A$96,"categoría","4 *","mes",1,"año",2007)</f>
        <v>78.63</v>
      </c>
      <c r="G55" s="342">
        <f>GETPIVOTDATA("dato",'[1]tabla dinámica IO men'!$A$96,"categoría","5 *","mes",1,"año",2007)</f>
        <v>81.53</v>
      </c>
      <c r="H55" s="342">
        <f>GETPIVOTDATA("dato",'[1]tabla dinámica IO men'!$A$96,"categoría","hoteleros","mes",1,"año",2007)</f>
        <v>76.599999999999994</v>
      </c>
      <c r="I55" s="342">
        <f>GETPIVOTDATA("dato",'[1]tabla dinámica IO men'!$A$96,"categoría","extrahoteleros","mes",1,"año",2007)</f>
        <v>56.19</v>
      </c>
      <c r="J55" s="342">
        <f>GETPIVOTDATA("dato",'[1]tabla dinámica IO men'!$A$96,"categoría","total","mes",1,"año",2007)</f>
        <v>66.69</v>
      </c>
    </row>
    <row r="56" spans="3:10" collapsed="1">
      <c r="C56" s="58">
        <v>2007</v>
      </c>
      <c r="D56" s="346">
        <f>'[1]tabla dinámica IO men'!C504</f>
        <v>63.308411656726882</v>
      </c>
      <c r="E56" s="346">
        <f>'[1]tabla dinámica IO men'!C505</f>
        <v>67.544029920870187</v>
      </c>
      <c r="F56" s="346">
        <f>'[1]tabla dinámica IO men'!C506</f>
        <v>78.999061269308896</v>
      </c>
      <c r="G56" s="346">
        <f>'[1]tabla dinámica IO men'!C507</f>
        <v>79.155343210309454</v>
      </c>
      <c r="H56" s="346">
        <f>'[1]tabla dinámica IO men'!C509</f>
        <v>75.950608009765716</v>
      </c>
      <c r="I56" s="346">
        <f>'[1]tabla dinámica IO men'!C508</f>
        <v>51.692424559519125</v>
      </c>
      <c r="J56" s="346">
        <f>'[1]tabla dinámica IO men'!C510</f>
        <v>64.189503599483345</v>
      </c>
    </row>
    <row r="57" spans="3:10" hidden="1" outlineLevel="1">
      <c r="C57" s="51" t="s">
        <v>37</v>
      </c>
      <c r="D57" s="342">
        <f>GETPIVOTDATA("dato",'[1]tabla dinámica IO men'!$A$96,"categoría","1* y 2 *","mes",12,"año",2006)</f>
        <v>71.125778562796313</v>
      </c>
      <c r="E57" s="342">
        <f>GETPIVOTDATA("dato",'[1]tabla dinámica IO men'!$A$96,"categoría","3 *","mes",12,"año",2006)</f>
        <v>63.53</v>
      </c>
      <c r="F57" s="342">
        <f>GETPIVOTDATA("dato",'[1]tabla dinámica IO men'!$A$96,"categoría","4 *","mes",12,"año",2006)</f>
        <v>73.78</v>
      </c>
      <c r="G57" s="342">
        <f>GETPIVOTDATA("dato",'[1]tabla dinámica IO men'!$A$96,"categoría","5 *","mes",12,"año",2006)</f>
        <v>80.7</v>
      </c>
      <c r="H57" s="342">
        <f>GETPIVOTDATA("dato",'[1]tabla dinámica IO men'!$A$96,"categoría","hoteleros","mes",12,"año",2006)</f>
        <v>72.099999999999994</v>
      </c>
      <c r="I57" s="342">
        <f>GETPIVOTDATA("dato",'[1]tabla dinámica IO men'!$A$96,"categoría","extrahoteleros","mes",12,"año",2006)</f>
        <v>51.89</v>
      </c>
      <c r="J57" s="342">
        <f>GETPIVOTDATA("dato",'[1]tabla dinámica IO men'!$A$96,"categoría","total","mes",12,"año",2006)</f>
        <v>62.31</v>
      </c>
    </row>
    <row r="58" spans="3:10" hidden="1" outlineLevel="1">
      <c r="C58" s="51" t="s">
        <v>38</v>
      </c>
      <c r="D58" s="342">
        <f>GETPIVOTDATA("dato",'[1]tabla dinámica IO men'!$A$96,"categoría","1* y 2 *","mes",11,"año",2006)</f>
        <v>68.429859626289854</v>
      </c>
      <c r="E58" s="342">
        <f>GETPIVOTDATA("dato",'[1]tabla dinámica IO men'!$A$96,"categoría","3 *","mes",11,"año",2006)</f>
        <v>64.58</v>
      </c>
      <c r="F58" s="342">
        <f>GETPIVOTDATA("dato",'[1]tabla dinámica IO men'!$A$96,"categoría","4 *","mes",11,"año",2006)</f>
        <v>77.930000000000007</v>
      </c>
      <c r="G58" s="342">
        <f>GETPIVOTDATA("dato",'[1]tabla dinámica IO men'!$A$96,"categoría","5 *","mes",11,"año",2006)</f>
        <v>93.12</v>
      </c>
      <c r="H58" s="342">
        <f>GETPIVOTDATA("dato",'[1]tabla dinámica IO men'!$A$96,"categoría","hoteleros","mes",11,"año",2006)</f>
        <v>76.459999999999994</v>
      </c>
      <c r="I58" s="342">
        <f>GETPIVOTDATA("dato",'[1]tabla dinámica IO men'!$A$96,"categoría","extrahoteleros","mes",11,"año",2006)</f>
        <v>52.9</v>
      </c>
      <c r="J58" s="342">
        <f>GETPIVOTDATA("dato",'[1]tabla dinámica IO men'!$A$96,"categoría","total","mes",11,"año",2006)</f>
        <v>65.040000000000006</v>
      </c>
    </row>
    <row r="59" spans="3:10" hidden="1" outlineLevel="1">
      <c r="C59" s="51" t="s">
        <v>39</v>
      </c>
      <c r="D59" s="342">
        <f>GETPIVOTDATA("dato",'[1]tabla dinámica IO men'!$A$96,"categoría","1* y 2 *","mes",10,"año",2006)</f>
        <v>68.090545691177837</v>
      </c>
      <c r="E59" s="342">
        <f>GETPIVOTDATA("dato",'[1]tabla dinámica IO men'!$A$96,"categoría","3 *","mes",10,"año",2006)</f>
        <v>65.05</v>
      </c>
      <c r="F59" s="342">
        <f>GETPIVOTDATA("dato",'[1]tabla dinámica IO men'!$A$96,"categoría","4 *","mes",10,"año",2006)</f>
        <v>87.2</v>
      </c>
      <c r="G59" s="342">
        <f>GETPIVOTDATA("dato",'[1]tabla dinámica IO men'!$A$96,"categoría","5 *","mes",10,"año",2006)</f>
        <v>79.349999999999994</v>
      </c>
      <c r="H59" s="342">
        <f>GETPIVOTDATA("dato",'[1]tabla dinámica IO men'!$A$96,"categoría","hoteleros","mes",10,"año",2006)</f>
        <v>80.400000000000006</v>
      </c>
      <c r="I59" s="342">
        <f>GETPIVOTDATA("dato",'[1]tabla dinámica IO men'!$A$96,"categoría","extrahoteleros","mes",10,"año",2006)</f>
        <v>52.45</v>
      </c>
      <c r="J59" s="342">
        <f>GETPIVOTDATA("dato",'[1]tabla dinámica IO men'!$A$96,"categoría","total","mes",10,"año",2006)</f>
        <v>66.849999999999994</v>
      </c>
    </row>
    <row r="60" spans="3:10" hidden="1" outlineLevel="1">
      <c r="C60" s="51" t="s">
        <v>40</v>
      </c>
      <c r="D60" s="342">
        <f>GETPIVOTDATA("dato",'[1]tabla dinámica IO men'!$A$96,"categoría","1* y 2 *","mes",9,"año",2006)</f>
        <v>50.585665148275538</v>
      </c>
      <c r="E60" s="342">
        <f>GETPIVOTDATA("dato",'[1]tabla dinámica IO men'!$A$96,"categoría","3 *","mes",9,"año",2006)</f>
        <v>60.34</v>
      </c>
      <c r="F60" s="342">
        <f>GETPIVOTDATA("dato",'[1]tabla dinámica IO men'!$A$96,"categoría","4 *","mes",9,"año",2006)</f>
        <v>83.62</v>
      </c>
      <c r="G60" s="342">
        <f>GETPIVOTDATA("dato",'[1]tabla dinámica IO men'!$A$96,"categoría","5 *","mes",9,"año",2006)</f>
        <v>89.7</v>
      </c>
      <c r="H60" s="342">
        <f>GETPIVOTDATA("dato",'[1]tabla dinámica IO men'!$A$96,"categoría","hoteleros","mes",9,"año",2006)</f>
        <v>78.08</v>
      </c>
      <c r="I60" s="342">
        <f>GETPIVOTDATA("dato",'[1]tabla dinámica IO men'!$A$96,"categoría","extrahoteleros","mes",9,"año",2006)</f>
        <v>50.4</v>
      </c>
      <c r="J60" s="342">
        <f>GETPIVOTDATA("dato",'[1]tabla dinámica IO men'!$A$96,"categoría","total","mes",9,"año",2006)</f>
        <v>64.66</v>
      </c>
    </row>
    <row r="61" spans="3:10" hidden="1" outlineLevel="1">
      <c r="C61" s="51" t="s">
        <v>41</v>
      </c>
      <c r="D61" s="342">
        <f>GETPIVOTDATA("dato",'[1]tabla dinámica IO men'!$A$96,"categoría","1* y 2 *","mes",8,"año",2006)</f>
        <v>67.267825601933623</v>
      </c>
      <c r="E61" s="342">
        <f>GETPIVOTDATA("dato",'[1]tabla dinámica IO men'!$A$96,"categoría","3 *","mes",8,"año",2006)</f>
        <v>89.38</v>
      </c>
      <c r="F61" s="342">
        <f>GETPIVOTDATA("dato",'[1]tabla dinámica IO men'!$A$96,"categoría","4 *","mes",8,"año",2006)</f>
        <v>96.1</v>
      </c>
      <c r="G61" s="342">
        <f>GETPIVOTDATA("dato",'[1]tabla dinámica IO men'!$A$96,"categoría","5 *","mes",8,"año",2006)</f>
        <v>97.34</v>
      </c>
      <c r="H61" s="342">
        <f>GETPIVOTDATA("dato",'[1]tabla dinámica IO men'!$A$96,"categoría","hoteleros","mes",8,"año",2006)</f>
        <v>94.04</v>
      </c>
      <c r="I61" s="342">
        <f>GETPIVOTDATA("dato",'[1]tabla dinámica IO men'!$A$96,"categoría","extrahoteleros","mes",8,"año",2006)</f>
        <v>70.11</v>
      </c>
      <c r="J61" s="342">
        <f>GETPIVOTDATA("dato",'[1]tabla dinámica IO men'!$A$96,"categoría","total","mes",8,"año",2006)</f>
        <v>82.44</v>
      </c>
    </row>
    <row r="62" spans="3:10" hidden="1" outlineLevel="1">
      <c r="C62" s="51" t="s">
        <v>42</v>
      </c>
      <c r="D62" s="342">
        <f>GETPIVOTDATA("dato",'[1]tabla dinámica IO men'!$A$96,"categoría","1* y 2 *","mes",7,"año",2006)</f>
        <v>62.419819652319418</v>
      </c>
      <c r="E62" s="342">
        <f>GETPIVOTDATA("dato",'[1]tabla dinámica IO men'!$A$96,"categoría","3 *","mes",7,"año",2006)</f>
        <v>75.5</v>
      </c>
      <c r="F62" s="342">
        <f>GETPIVOTDATA("dato",'[1]tabla dinámica IO men'!$A$96,"categoría","4 *","mes",7,"año",2006)</f>
        <v>89.94</v>
      </c>
      <c r="G62" s="342">
        <f>GETPIVOTDATA("dato",'[1]tabla dinámica IO men'!$A$96,"categoría","5 *","mes",7,"año",2006)</f>
        <v>82.5</v>
      </c>
      <c r="H62" s="342">
        <f>GETPIVOTDATA("dato",'[1]tabla dinámica IO men'!$A$96,"categoría","hoteleros","mes",7,"año",2006)</f>
        <v>84.91</v>
      </c>
      <c r="I62" s="342">
        <f>GETPIVOTDATA("dato",'[1]tabla dinámica IO men'!$A$96,"categoría","extrahoteleros","mes",7,"año",2006)</f>
        <v>59.44</v>
      </c>
      <c r="J62" s="342">
        <f>GETPIVOTDATA("dato",'[1]tabla dinámica IO men'!$A$96,"categoría","total","mes",7,"año",2006)</f>
        <v>72.569999999999993</v>
      </c>
    </row>
    <row r="63" spans="3:10" hidden="1" outlineLevel="1">
      <c r="C63" s="51" t="s">
        <v>43</v>
      </c>
      <c r="D63" s="342">
        <f>GETPIVOTDATA("dato",'[1]tabla dinámica IO men'!$A$96,"categoría","1* y 2 *","mes",6,"año",2006)</f>
        <v>61.419249592169656</v>
      </c>
      <c r="E63" s="342">
        <f>GETPIVOTDATA("dato",'[1]tabla dinámica IO men'!$A$96,"categoría","3 *","mes",6,"año",2006)</f>
        <v>62.69</v>
      </c>
      <c r="F63" s="342">
        <f>GETPIVOTDATA("dato",'[1]tabla dinámica IO men'!$A$96,"categoría","4 *","mes",6,"año",2006)</f>
        <v>76.44</v>
      </c>
      <c r="G63" s="342">
        <f>GETPIVOTDATA("dato",'[1]tabla dinámica IO men'!$A$96,"categoría","5 *","mes",6,"año",2006)</f>
        <v>72.16</v>
      </c>
      <c r="H63" s="342">
        <f>GETPIVOTDATA("dato",'[1]tabla dinámica IO men'!$A$96,"categoría","hoteleros","mes",6,"año",2006)</f>
        <v>72.260000000000005</v>
      </c>
      <c r="I63" s="342">
        <f>GETPIVOTDATA("dato",'[1]tabla dinámica IO men'!$A$96,"categoría","extrahoteleros","mes",6,"año",2006)</f>
        <v>45.42</v>
      </c>
      <c r="J63" s="342">
        <f>GETPIVOTDATA("dato",'[1]tabla dinámica IO men'!$A$96,"categoría","total","mes",6,"año",2006)</f>
        <v>59.2</v>
      </c>
    </row>
    <row r="64" spans="3:10" hidden="1" outlineLevel="1">
      <c r="C64" s="51" t="s">
        <v>44</v>
      </c>
      <c r="D64" s="342">
        <f>GETPIVOTDATA("dato",'[1]tabla dinámica IO men'!$A$96,"categoría","1* y 2 *","mes",5,"año",2006)</f>
        <v>58.232910593064254</v>
      </c>
      <c r="E64" s="342">
        <f>GETPIVOTDATA("dato",'[1]tabla dinámica IO men'!$A$96,"categoría","3 *","mes",5,"año",2006)</f>
        <v>57.09</v>
      </c>
      <c r="F64" s="342">
        <f>GETPIVOTDATA("dato",'[1]tabla dinámica IO men'!$A$96,"categoría","4 *","mes",5,"año",2006)</f>
        <v>69.27</v>
      </c>
      <c r="G64" s="342">
        <f>GETPIVOTDATA("dato",'[1]tabla dinámica IO men'!$A$96,"categoría","5 *","mes",5,"año",2006)</f>
        <v>70.36</v>
      </c>
      <c r="H64" s="342">
        <f>GETPIVOTDATA("dato",'[1]tabla dinámica IO men'!$A$96,"categoría","hoteleros","mes",5,"año",2006)</f>
        <v>66.209999999999994</v>
      </c>
      <c r="I64" s="342">
        <f>GETPIVOTDATA("dato",'[1]tabla dinámica IO men'!$A$96,"categoría","extrahoteleros","mes",5,"año",2006)</f>
        <v>40.92</v>
      </c>
      <c r="J64" s="342">
        <f>GETPIVOTDATA("dato",'[1]tabla dinámica IO men'!$A$96,"categoría","total","mes",5,"año",2006)</f>
        <v>53.9</v>
      </c>
    </row>
    <row r="65" spans="3:10" hidden="1" outlineLevel="1">
      <c r="C65" s="51" t="s">
        <v>45</v>
      </c>
      <c r="D65" s="342">
        <f>GETPIVOTDATA("dato",'[1]tabla dinámica IO men'!$A$96,"categoría","1* y 2 *","mes",4,"año",2006)</f>
        <v>71.625883632408915</v>
      </c>
      <c r="E65" s="342">
        <f>GETPIVOTDATA("dato",'[1]tabla dinámica IO men'!$A$96,"categoría","3 *","mes",4,"año",2006)</f>
        <v>72.849999999999994</v>
      </c>
      <c r="F65" s="342">
        <f>GETPIVOTDATA("dato",'[1]tabla dinámica IO men'!$A$96,"categoría","4 *","mes",4,"año",2006)</f>
        <v>84.75</v>
      </c>
      <c r="G65" s="342">
        <f>GETPIVOTDATA("dato",'[1]tabla dinámica IO men'!$A$96,"categoría","5 *","mes",4,"año",2006)</f>
        <v>86.53</v>
      </c>
      <c r="H65" s="342">
        <f>GETPIVOTDATA("dato",'[1]tabla dinámica IO men'!$A$96,"categoría","hoteleros","mes",4,"año",2006)</f>
        <v>81.81</v>
      </c>
      <c r="I65" s="342">
        <f>GETPIVOTDATA("dato",'[1]tabla dinámica IO men'!$A$96,"categoría","extrahoteleros","mes",4,"año",2006)</f>
        <v>56.06</v>
      </c>
      <c r="J65" s="342">
        <f>GETPIVOTDATA("dato",'[1]tabla dinámica IO men'!$A$96,"categoría","total","mes",4,"año",2006)</f>
        <v>69.28</v>
      </c>
    </row>
    <row r="66" spans="3:10" hidden="1" outlineLevel="1">
      <c r="C66" s="51" t="s">
        <v>46</v>
      </c>
      <c r="D66" s="342">
        <f>GETPIVOTDATA("dato",'[1]tabla dinámica IO men'!$A$96,"categoría","1* y 2 *","mes",3,"año",2006)</f>
        <v>75.814345103404719</v>
      </c>
      <c r="E66" s="342">
        <f>GETPIVOTDATA("dato",'[1]tabla dinámica IO men'!$A$96,"categoría","3 *","mes",3,"año",2006)</f>
        <v>75</v>
      </c>
      <c r="F66" s="342">
        <f>GETPIVOTDATA("dato",'[1]tabla dinámica IO men'!$A$96,"categoría","4 *","mes",3,"año",2006)</f>
        <v>77.58</v>
      </c>
      <c r="G66" s="342">
        <f>GETPIVOTDATA("dato",'[1]tabla dinámica IO men'!$A$96,"categoría","5 *","mes",3,"año",2006)</f>
        <v>87.38</v>
      </c>
      <c r="H66" s="342">
        <f>GETPIVOTDATA("dato",'[1]tabla dinámica IO men'!$A$96,"categoría","hoteleros","mes",3,"año",2006)</f>
        <v>78.12</v>
      </c>
      <c r="I66" s="342">
        <f>GETPIVOTDATA("dato",'[1]tabla dinámica IO men'!$A$96,"categoría","extrahoteleros","mes",3,"año",2006)</f>
        <v>58.61</v>
      </c>
      <c r="J66" s="342">
        <f>GETPIVOTDATA("dato",'[1]tabla dinámica IO men'!$A$96,"categoría","total","mes",3,"año",2006)</f>
        <v>68.63</v>
      </c>
    </row>
    <row r="67" spans="3:10" hidden="1" outlineLevel="1">
      <c r="C67" s="51" t="s">
        <v>47</v>
      </c>
      <c r="D67" s="342">
        <f>GETPIVOTDATA("dato",'[1]tabla dinámica IO men'!$A$96,"categoría","1* y 2 *","mes",2,"año",2006)</f>
        <v>84.251922628757868</v>
      </c>
      <c r="E67" s="342">
        <f>GETPIVOTDATA("dato",'[1]tabla dinámica IO men'!$A$96,"categoría","3 *","mes",2,"año",2006)</f>
        <v>78.25</v>
      </c>
      <c r="F67" s="342">
        <f>GETPIVOTDATA("dato",'[1]tabla dinámica IO men'!$A$96,"categoría","4 *","mes",2,"año",2006)</f>
        <v>76.7</v>
      </c>
      <c r="G67" s="342">
        <f>GETPIVOTDATA("dato",'[1]tabla dinámica IO men'!$A$96,"categoría","5 *","mes",2,"año",2006)</f>
        <v>87.57</v>
      </c>
      <c r="H67" s="342">
        <f>GETPIVOTDATA("dato",'[1]tabla dinámica IO men'!$A$96,"categoría","hoteleros","mes",2,"año",2006)</f>
        <v>78.55</v>
      </c>
      <c r="I67" s="342">
        <f>GETPIVOTDATA("dato",'[1]tabla dinámica IO men'!$A$96,"categoría","extrahoteleros","mes",2,"año",2006)</f>
        <v>60.81</v>
      </c>
      <c r="J67" s="342">
        <f>GETPIVOTDATA("dato",'[1]tabla dinámica IO men'!$A$96,"categoría","total","mes",2,"año",2006)</f>
        <v>69.92</v>
      </c>
    </row>
    <row r="68" spans="3:10" hidden="1" outlineLevel="1">
      <c r="C68" s="51" t="s">
        <v>48</v>
      </c>
      <c r="D68" s="342">
        <f>GETPIVOTDATA("dato",'[1]tabla dinámica IO men'!$A$96,"categoría","1* y 2 *","mes",1,"año",2006)</f>
        <v>80.813555754354581</v>
      </c>
      <c r="E68" s="342">
        <f>GETPIVOTDATA("dato",'[1]tabla dinámica IO men'!$A$96,"categoría","3 *","mes",1,"año",2006)</f>
        <v>78.61</v>
      </c>
      <c r="F68" s="342">
        <f>GETPIVOTDATA("dato",'[1]tabla dinámica IO men'!$A$96,"categoría","4 *","mes",1,"año",2006)</f>
        <v>81.56</v>
      </c>
      <c r="G68" s="342">
        <f>GETPIVOTDATA("dato",'[1]tabla dinámica IO men'!$A$96,"categoría","5 *","mes",1,"año",2006)</f>
        <v>79.069999999999993</v>
      </c>
      <c r="H68" s="342">
        <f>GETPIVOTDATA("dato",'[1]tabla dinámica IO men'!$A$96,"categoría","hoteleros","mes",1,"año",2006)</f>
        <v>80.510000000000005</v>
      </c>
      <c r="I68" s="342">
        <f>GETPIVOTDATA("dato",'[1]tabla dinámica IO men'!$A$96,"categoría","extrahoteleros","mes",1,"año",2006)</f>
        <v>58.6</v>
      </c>
      <c r="J68" s="342">
        <f>GETPIVOTDATA("dato",'[1]tabla dinámica IO men'!$A$96,"categoría","total","mes",1,"año",2006)</f>
        <v>69.849999999999994</v>
      </c>
    </row>
    <row r="69" spans="3:10" collapsed="1">
      <c r="C69" s="58">
        <v>2006</v>
      </c>
      <c r="D69" s="346">
        <f>'[1]tabla dinámica IO men'!B504</f>
        <v>68.391235664092449</v>
      </c>
      <c r="E69" s="346">
        <f>'[1]tabla dinámica IO men'!B505</f>
        <v>70.228139742996603</v>
      </c>
      <c r="F69" s="346">
        <f>'[1]tabla dinámica IO men'!B506</f>
        <v>81.282042858863591</v>
      </c>
      <c r="G69" s="346">
        <f>'[1]tabla dinámica IO men'!B507</f>
        <v>83.839711756873186</v>
      </c>
      <c r="H69" s="346">
        <f>'[1]tabla dinámica IO men'!B509</f>
        <v>78.646931153423935</v>
      </c>
      <c r="I69" s="346">
        <f>'[1]tabla dinámica IO men'!B508</f>
        <v>54.79180646418159</v>
      </c>
      <c r="J69" s="346">
        <f>'[1]tabla dinámica IO men'!B510</f>
        <v>67.06123848158623</v>
      </c>
    </row>
    <row r="70" spans="3:10" ht="15" customHeight="1">
      <c r="C70" s="166" t="s">
        <v>32</v>
      </c>
      <c r="D70" s="166"/>
      <c r="E70" s="166"/>
      <c r="F70" s="166"/>
      <c r="G70" s="166"/>
      <c r="H70" s="166"/>
      <c r="I70" s="166"/>
      <c r="J70" s="166"/>
    </row>
    <row r="72" spans="3:10" ht="30" customHeight="1"/>
    <row r="74" spans="3:10" ht="30" customHeight="1"/>
  </sheetData>
  <mergeCells count="2">
    <mergeCell ref="C3:J3"/>
    <mergeCell ref="C70:J7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C3:J57"/>
  <sheetViews>
    <sheetView showGridLines="0" showRowColHeaders="0" topLeftCell="C1" zoomScaleNormal="100" workbookViewId="0">
      <selection activeCell="B25" sqref="B25"/>
    </sheetView>
  </sheetViews>
  <sheetFormatPr baseColWidth="10" defaultRowHeight="15" outlineLevelRow="1"/>
  <cols>
    <col min="1" max="1" width="14.28515625" style="121" customWidth="1"/>
    <col min="2" max="8" width="11.42578125" style="121"/>
    <col min="9" max="9" width="14" style="121" customWidth="1"/>
    <col min="10" max="11" width="11.42578125" style="121"/>
    <col min="12" max="12" width="14.28515625" style="121" customWidth="1"/>
    <col min="13" max="16384" width="11.42578125" style="121"/>
  </cols>
  <sheetData>
    <row r="3" spans="3:10" ht="38.25" customHeight="1">
      <c r="C3" s="160" t="s">
        <v>259</v>
      </c>
      <c r="D3" s="160"/>
      <c r="E3" s="160"/>
      <c r="F3" s="160"/>
      <c r="G3" s="160"/>
      <c r="H3" s="160"/>
      <c r="I3" s="160"/>
      <c r="J3" s="160"/>
    </row>
    <row r="4" spans="3:10" ht="30">
      <c r="C4" s="161"/>
      <c r="D4" s="128" t="s">
        <v>260</v>
      </c>
      <c r="E4" s="128" t="s">
        <v>115</v>
      </c>
      <c r="F4" s="128" t="s">
        <v>116</v>
      </c>
      <c r="G4" s="128" t="s">
        <v>117</v>
      </c>
      <c r="H4" s="162" t="s">
        <v>34</v>
      </c>
      <c r="I4" s="162" t="s">
        <v>118</v>
      </c>
      <c r="J4" s="163" t="s">
        <v>36</v>
      </c>
    </row>
    <row r="5" spans="3:10" hidden="1">
      <c r="C5" s="51" t="s">
        <v>37</v>
      </c>
      <c r="D5" s="167">
        <f>IFERROR('tablas evol IO CAT '!D5/'tablas evol IO CAT '!D18-1,"-")</f>
        <v>-1</v>
      </c>
      <c r="E5" s="167">
        <f>IFERROR('tablas evol IO CAT '!E5/'tablas evol IO CAT '!E18-1,"-")</f>
        <v>-1</v>
      </c>
      <c r="F5" s="167">
        <f>IFERROR('tablas evol IO CAT '!F5/'tablas evol IO CAT '!F18-1,"-")</f>
        <v>-1</v>
      </c>
      <c r="G5" s="167">
        <f>IFERROR('tablas evol IO CAT '!G5/'tablas evol IO CAT '!G18-1,"-")</f>
        <v>-1</v>
      </c>
      <c r="H5" s="167">
        <f>IFERROR('tablas evol IO CAT '!H5/'tablas evol IO CAT '!H18-1,"-")</f>
        <v>-1</v>
      </c>
      <c r="I5" s="167">
        <f>IFERROR('tablas evol IO CAT '!I5/'tablas evol IO CAT '!I18-1,"-")</f>
        <v>-1</v>
      </c>
      <c r="J5" s="167">
        <f>IFERROR('tablas evol IO CAT '!J5/'tablas evol IO CAT '!J18-1,"-")</f>
        <v>-1</v>
      </c>
    </row>
    <row r="6" spans="3:10" hidden="1">
      <c r="C6" s="51" t="s">
        <v>38</v>
      </c>
      <c r="D6" s="167">
        <f>IFERROR('tablas evol IO CAT '!D6/'tablas evol IO CAT '!D19-1,"-")</f>
        <v>-1</v>
      </c>
      <c r="E6" s="167">
        <f>IFERROR('tablas evol IO CAT '!E6/'tablas evol IO CAT '!E19-1,"-")</f>
        <v>-1</v>
      </c>
      <c r="F6" s="167">
        <f>IFERROR('tablas evol IO CAT '!F6/'tablas evol IO CAT '!F19-1,"-")</f>
        <v>-1</v>
      </c>
      <c r="G6" s="167">
        <f>IFERROR('tablas evol IO CAT '!G6/'tablas evol IO CAT '!G19-1,"-")</f>
        <v>-1</v>
      </c>
      <c r="H6" s="167">
        <f>IFERROR('tablas evol IO CAT '!H6/'tablas evol IO CAT '!H19-1,"-")</f>
        <v>-1</v>
      </c>
      <c r="I6" s="167">
        <f>IFERROR('tablas evol IO CAT '!I6/'tablas evol IO CAT '!I19-1,"-")</f>
        <v>-1</v>
      </c>
      <c r="J6" s="167">
        <f>IFERROR('tablas evol IO CAT '!J6/'tablas evol IO CAT '!J19-1,"-")</f>
        <v>-1</v>
      </c>
    </row>
    <row r="7" spans="3:10" hidden="1">
      <c r="C7" s="51" t="s">
        <v>39</v>
      </c>
      <c r="D7" s="167">
        <f>IFERROR('tablas evol IO CAT '!D7/'tablas evol IO CAT '!D20-1,"-")</f>
        <v>-1</v>
      </c>
      <c r="E7" s="167">
        <f>IFERROR('tablas evol IO CAT '!E7/'tablas evol IO CAT '!E20-1,"-")</f>
        <v>-1</v>
      </c>
      <c r="F7" s="167">
        <f>IFERROR('tablas evol IO CAT '!F7/'tablas evol IO CAT '!F20-1,"-")</f>
        <v>-1</v>
      </c>
      <c r="G7" s="167">
        <f>IFERROR('tablas evol IO CAT '!G7/'tablas evol IO CAT '!G20-1,"-")</f>
        <v>-1</v>
      </c>
      <c r="H7" s="167">
        <f>IFERROR('tablas evol IO CAT '!H7/'tablas evol IO CAT '!H20-1,"-")</f>
        <v>-1</v>
      </c>
      <c r="I7" s="167">
        <f>IFERROR('tablas evol IO CAT '!I7/'tablas evol IO CAT '!I20-1,"-")</f>
        <v>-1</v>
      </c>
      <c r="J7" s="167">
        <f>IFERROR('tablas evol IO CAT '!J7/'tablas evol IO CAT '!J20-1,"-")</f>
        <v>-1</v>
      </c>
    </row>
    <row r="8" spans="3:10" hidden="1">
      <c r="C8" s="51" t="s">
        <v>40</v>
      </c>
      <c r="D8" s="167">
        <f>IFERROR('tablas evol IO CAT '!D8/'tablas evol IO CAT '!D21-1,"-")</f>
        <v>-1</v>
      </c>
      <c r="E8" s="167">
        <f>IFERROR('tablas evol IO CAT '!E8/'tablas evol IO CAT '!E21-1,"-")</f>
        <v>-1</v>
      </c>
      <c r="F8" s="167">
        <f>IFERROR('tablas evol IO CAT '!F8/'tablas evol IO CAT '!F21-1,"-")</f>
        <v>-1</v>
      </c>
      <c r="G8" s="167">
        <f>IFERROR('tablas evol IO CAT '!G8/'tablas evol IO CAT '!G21-1,"-")</f>
        <v>-1</v>
      </c>
      <c r="H8" s="167">
        <f>IFERROR('tablas evol IO CAT '!H8/'tablas evol IO CAT '!H21-1,"-")</f>
        <v>-1</v>
      </c>
      <c r="I8" s="167">
        <f>IFERROR('tablas evol IO CAT '!I8/'tablas evol IO CAT '!I21-1,"-")</f>
        <v>-1</v>
      </c>
      <c r="J8" s="167">
        <f>IFERROR('tablas evol IO CAT '!J8/'tablas evol IO CAT '!J21-1,"-")</f>
        <v>-1</v>
      </c>
    </row>
    <row r="9" spans="3:10" hidden="1">
      <c r="C9" s="51" t="s">
        <v>41</v>
      </c>
      <c r="D9" s="167">
        <f>IFERROR('tablas evol IO CAT '!D9/'tablas evol IO CAT '!D22-1,"-")</f>
        <v>-1</v>
      </c>
      <c r="E9" s="167">
        <f>IFERROR('tablas evol IO CAT '!E9/'tablas evol IO CAT '!E22-1,"-")</f>
        <v>-1</v>
      </c>
      <c r="F9" s="167">
        <f>IFERROR('tablas evol IO CAT '!F9/'tablas evol IO CAT '!F22-1,"-")</f>
        <v>-1</v>
      </c>
      <c r="G9" s="167">
        <f>IFERROR('tablas evol IO CAT '!G9/'tablas evol IO CAT '!G22-1,"-")</f>
        <v>-1</v>
      </c>
      <c r="H9" s="167">
        <f>IFERROR('tablas evol IO CAT '!H9/'tablas evol IO CAT '!H22-1,"-")</f>
        <v>-1</v>
      </c>
      <c r="I9" s="167">
        <f>IFERROR('tablas evol IO CAT '!I9/'tablas evol IO CAT '!I22-1,"-")</f>
        <v>-1</v>
      </c>
      <c r="J9" s="167">
        <f>IFERROR('tablas evol IO CAT '!J9/'tablas evol IO CAT '!J22-1,"-")</f>
        <v>-1</v>
      </c>
    </row>
    <row r="10" spans="3:10">
      <c r="C10" s="51" t="s">
        <v>42</v>
      </c>
      <c r="D10" s="167">
        <f>IFERROR('tablas evol IO CAT '!D10/'tablas evol IO CAT '!D23-1,"-")</f>
        <v>4.7010190348010017E-2</v>
      </c>
      <c r="E10" s="167">
        <f>IFERROR('tablas evol IO CAT '!E10/'tablas evol IO CAT '!E23-1,"-")</f>
        <v>-5.9579705671463534E-2</v>
      </c>
      <c r="F10" s="167">
        <f>IFERROR('tablas evol IO CAT '!F10/'tablas evol IO CAT '!F23-1,"-")</f>
        <v>9.2432157373227186E-2</v>
      </c>
      <c r="G10" s="167">
        <f>IFERROR('tablas evol IO CAT '!G10/'tablas evol IO CAT '!G23-1,"-")</f>
        <v>0.21503008480090657</v>
      </c>
      <c r="H10" s="167">
        <f>IFERROR('tablas evol IO CAT '!H10/'tablas evol IO CAT '!H23-1,"-")</f>
        <v>8.5053279836484919E-2</v>
      </c>
      <c r="I10" s="167">
        <f>IFERROR('tablas evol IO CAT '!I10/'tablas evol IO CAT '!I23-1,"-")</f>
        <v>0.10740177468325873</v>
      </c>
      <c r="J10" s="167">
        <f>IFERROR('tablas evol IO CAT '!J10/'tablas evol IO CAT '!J23-1,"-")</f>
        <v>9.6075234327134273E-2</v>
      </c>
    </row>
    <row r="11" spans="3:10">
      <c r="C11" s="51" t="s">
        <v>43</v>
      </c>
      <c r="D11" s="167">
        <f>IFERROR('tablas evol IO CAT '!D11/'tablas evol IO CAT '!D24-1,"-")</f>
        <v>0.19016519400691512</v>
      </c>
      <c r="E11" s="167">
        <f>IFERROR('tablas evol IO CAT '!E11/'tablas evol IO CAT '!E24-1,"-")</f>
        <v>-0.10107100024035043</v>
      </c>
      <c r="F11" s="167">
        <f>IFERROR('tablas evol IO CAT '!F11/'tablas evol IO CAT '!F24-1,"-")</f>
        <v>0.11581517828807586</v>
      </c>
      <c r="G11" s="167">
        <f>IFERROR('tablas evol IO CAT '!G11/'tablas evol IO CAT '!G24-1,"-")</f>
        <v>0.13933363073506944</v>
      </c>
      <c r="H11" s="167">
        <f>IFERROR('tablas evol IO CAT '!H11/'tablas evol IO CAT '!H24-1,"-")</f>
        <v>8.5214112843455592E-2</v>
      </c>
      <c r="I11" s="167">
        <f>IFERROR('tablas evol IO CAT '!I11/'tablas evol IO CAT '!I24-1,"-")</f>
        <v>2.291061666868166E-2</v>
      </c>
      <c r="J11" s="167">
        <f>IFERROR('tablas evol IO CAT '!J11/'tablas evol IO CAT '!J24-1,"-")</f>
        <v>6.2154692517966126E-2</v>
      </c>
    </row>
    <row r="12" spans="3:10">
      <c r="C12" s="51" t="s">
        <v>44</v>
      </c>
      <c r="D12" s="167">
        <f>IFERROR('tablas evol IO CAT '!D12/'tablas evol IO CAT '!D25-1,"-")</f>
        <v>-4.0060733473487486E-2</v>
      </c>
      <c r="E12" s="167">
        <f>IFERROR('tablas evol IO CAT '!E12/'tablas evol IO CAT '!E25-1,"-")</f>
        <v>0.20275632744498928</v>
      </c>
      <c r="F12" s="167">
        <f>IFERROR('tablas evol IO CAT '!F12/'tablas evol IO CAT '!F25-1,"-")</f>
        <v>0.10770883953313248</v>
      </c>
      <c r="G12" s="167">
        <f>IFERROR('tablas evol IO CAT '!G12/'tablas evol IO CAT '!G25-1,"-")</f>
        <v>5.4763320447886565E-2</v>
      </c>
      <c r="H12" s="167">
        <f>IFERROR('tablas evol IO CAT '!H12/'tablas evol IO CAT '!H25-1,"-")</f>
        <v>0.11812572609000127</v>
      </c>
      <c r="I12" s="167">
        <f>IFERROR('tablas evol IO CAT '!I12/'tablas evol IO CAT '!I25-1,"-")</f>
        <v>4.1323341165039329E-2</v>
      </c>
      <c r="J12" s="167">
        <f>IFERROR('tablas evol IO CAT '!J12/'tablas evol IO CAT '!J25-1,"-")</f>
        <v>9.0813748121088889E-2</v>
      </c>
    </row>
    <row r="13" spans="3:10">
      <c r="C13" s="51" t="s">
        <v>45</v>
      </c>
      <c r="D13" s="167">
        <f>IFERROR('tablas evol IO CAT '!D13/'tablas evol IO CAT '!D26-1,"-")</f>
        <v>-0.12808038075092543</v>
      </c>
      <c r="E13" s="167">
        <f>IFERROR('tablas evol IO CAT '!E13/'tablas evol IO CAT '!E26-1,"-")</f>
        <v>8.5537123272632076E-3</v>
      </c>
      <c r="F13" s="167">
        <f>IFERROR('tablas evol IO CAT '!F13/'tablas evol IO CAT '!F26-1,"-")</f>
        <v>3.2794528043775584E-2</v>
      </c>
      <c r="G13" s="167">
        <f>IFERROR('tablas evol IO CAT '!G13/'tablas evol IO CAT '!G26-1,"-")</f>
        <v>5.4600636258988366E-2</v>
      </c>
      <c r="H13" s="167">
        <f>IFERROR('tablas evol IO CAT '!H13/'tablas evol IO CAT '!H26-1,"-")</f>
        <v>3.4447052130875511E-2</v>
      </c>
      <c r="I13" s="167">
        <f>IFERROR('tablas evol IO CAT '!I13/'tablas evol IO CAT '!I26-1,"-")</f>
        <v>-6.7286504364131194E-2</v>
      </c>
      <c r="J13" s="167">
        <f>IFERROR('tablas evol IO CAT '!J13/'tablas evol IO CAT '!J26-1,"-")</f>
        <v>-4.5498430163541936E-3</v>
      </c>
    </row>
    <row r="14" spans="3:10">
      <c r="C14" s="51" t="s">
        <v>46</v>
      </c>
      <c r="D14" s="167">
        <f>IFERROR('tablas evol IO CAT '!D14/'tablas evol IO CAT '!D27-1,"-")</f>
        <v>-0.13283699059561127</v>
      </c>
      <c r="E14" s="167">
        <f>IFERROR('tablas evol IO CAT '!E14/'tablas evol IO CAT '!E27-1,"-")</f>
        <v>-3.0971625496754029E-2</v>
      </c>
      <c r="F14" s="167">
        <f>IFERROR('tablas evol IO CAT '!F14/'tablas evol IO CAT '!F27-1,"-")</f>
        <v>4.6036144110503718E-2</v>
      </c>
      <c r="G14" s="167">
        <f>IFERROR('tablas evol IO CAT '!G14/'tablas evol IO CAT '!G27-1,"-")</f>
        <v>0.15956254825527738</v>
      </c>
      <c r="H14" s="167">
        <f>IFERROR('tablas evol IO CAT '!H14/'tablas evol IO CAT '!H27-1,"-")</f>
        <v>4.1135732119994106E-2</v>
      </c>
      <c r="I14" s="167">
        <f>IFERROR('tablas evol IO CAT '!I14/'tablas evol IO CAT '!I27-1,"-")</f>
        <v>-2.2691017488102205E-2</v>
      </c>
      <c r="J14" s="167">
        <f>IFERROR('tablas evol IO CAT '!J14/'tablas evol IO CAT '!J27-1,"-")</f>
        <v>1.5190521985146921E-2</v>
      </c>
    </row>
    <row r="15" spans="3:10">
      <c r="C15" s="51" t="s">
        <v>47</v>
      </c>
      <c r="D15" s="167">
        <f>IFERROR('tablas evol IO CAT '!D15/'tablas evol IO CAT '!D28-1,"-")</f>
        <v>0.1241308793456033</v>
      </c>
      <c r="E15" s="167">
        <f>IFERROR('tablas evol IO CAT '!E15/'tablas evol IO CAT '!E28-1,"-")</f>
        <v>-1.3662344904503021E-2</v>
      </c>
      <c r="F15" s="167">
        <f>IFERROR('tablas evol IO CAT '!F15/'tablas evol IO CAT '!F28-1,"-")</f>
        <v>5.6543281842028392E-2</v>
      </c>
      <c r="G15" s="167">
        <f>IFERROR('tablas evol IO CAT '!G15/'tablas evol IO CAT '!G28-1,"-")</f>
        <v>3.6525329521994498E-2</v>
      </c>
      <c r="H15" s="167">
        <f>IFERROR('tablas evol IO CAT '!H15/'tablas evol IO CAT '!H28-1,"-")</f>
        <v>3.9644366710392065E-2</v>
      </c>
      <c r="I15" s="167">
        <f>IFERROR('tablas evol IO CAT '!I15/'tablas evol IO CAT '!I28-1,"-")</f>
        <v>-3.9101819589624442E-2</v>
      </c>
      <c r="J15" s="167">
        <f>IFERROR('tablas evol IO CAT '!J15/'tablas evol IO CAT '!J28-1,"-")</f>
        <v>7.1133167907362349E-3</v>
      </c>
    </row>
    <row r="16" spans="3:10">
      <c r="C16" s="51" t="s">
        <v>48</v>
      </c>
      <c r="D16" s="167">
        <f>IFERROR('tablas evol IO CAT '!D16/'tablas evol IO CAT '!D29-1,"-")</f>
        <v>8.2252358490566113E-2</v>
      </c>
      <c r="E16" s="167">
        <f>IFERROR('tablas evol IO CAT '!E16/'tablas evol IO CAT '!E29-1,"-")</f>
        <v>-1.2572397231247368E-2</v>
      </c>
      <c r="F16" s="167">
        <f>IFERROR('tablas evol IO CAT '!F16/'tablas evol IO CAT '!F29-1,"-")</f>
        <v>7.3800738007379074E-3</v>
      </c>
      <c r="G16" s="167">
        <f>IFERROR('tablas evol IO CAT '!G16/'tablas evol IO CAT '!G29-1,"-")</f>
        <v>-0.12627388535031847</v>
      </c>
      <c r="H16" s="167">
        <f>IFERROR('tablas evol IO CAT '!H16/'tablas evol IO CAT '!H29-1,"-")</f>
        <v>-1.1650758001122918E-2</v>
      </c>
      <c r="I16" s="167">
        <f>IFERROR('tablas evol IO CAT '!I16/'tablas evol IO CAT '!I29-1,"-")</f>
        <v>-6.7685589519650757E-2</v>
      </c>
      <c r="J16" s="167">
        <f>IFERROR('tablas evol IO CAT '!J16/'tablas evol IO CAT '!J29-1,"-")</f>
        <v>-3.4150326797385722E-2</v>
      </c>
    </row>
    <row r="17" spans="3:10" ht="30">
      <c r="C17" s="69" t="s">
        <v>54</v>
      </c>
      <c r="D17" s="168">
        <f>'[1]tabla dinámica municipios'!$M$311/'[1]tabla dinámica municipios'!$C$311-1</f>
        <v>1.1255511719656441E-2</v>
      </c>
      <c r="E17" s="168">
        <f>'[1]tabla dinámica municipios'!$O$311/'[1]tabla dinámica municipios'!$E$311-1</f>
        <v>-6.179873591308116E-3</v>
      </c>
      <c r="F17" s="168">
        <f>'[1]tabla dinámica municipios'!$P$311/'[1]tabla dinámica municipios'!$F$311-1</f>
        <v>6.4213329714293277E-2</v>
      </c>
      <c r="G17" s="168">
        <f>'[1]tabla dinámica municipios'!$R$311/'[1]tabla dinámica municipios'!$H$311-1</f>
        <v>7.4886297829484638E-2</v>
      </c>
      <c r="H17" s="168">
        <f>'[1]tabla dinámica municipios'!$T$311/'[1]tabla dinámica municipios'!$J$311-1</f>
        <v>5.4381515646208634E-2</v>
      </c>
      <c r="I17" s="168">
        <f>'[1]tabla dinámica municipios'!$S$311/'[1]tabla dinámica municipios'!$I$311-1</f>
        <v>-7.2290067723022045E-3</v>
      </c>
      <c r="J17" s="168">
        <f>'[1]tabla dinámica municipios'!$U$311/'[1]tabla dinámica municipios'!$K$311-1</f>
        <v>3.0948909503155209E-2</v>
      </c>
    </row>
    <row r="18" spans="3:10" hidden="1" outlineLevel="1">
      <c r="C18" s="51" t="s">
        <v>37</v>
      </c>
      <c r="D18" s="167">
        <f>IFERROR('tablas evol IO CAT '!D18/'tablas evol IO CAT '!D31-1,"-")</f>
        <v>-2.0206049603328169E-2</v>
      </c>
      <c r="E18" s="167">
        <f>IFERROR('tablas evol IO CAT '!E18/'tablas evol IO CAT '!E31-1,"-")</f>
        <v>-0.19759763943707354</v>
      </c>
      <c r="F18" s="167">
        <f>IFERROR('tablas evol IO CAT '!F18/'tablas evol IO CAT '!F31-1,"-")</f>
        <v>-1.6039444492334631E-2</v>
      </c>
      <c r="G18" s="167">
        <f>IFERROR('tablas evol IO CAT '!G18/'tablas evol IO CAT '!G31-1,"-")</f>
        <v>-7.2607066777819473E-2</v>
      </c>
      <c r="H18" s="167">
        <f>IFERROR('tablas evol IO CAT '!H18/'tablas evol IO CAT '!H31-1,"-")</f>
        <v>-6.1247500778932151E-2</v>
      </c>
      <c r="I18" s="167">
        <f>IFERROR('tablas evol IO CAT '!I18/'tablas evol IO CAT '!I31-1,"-")</f>
        <v>-8.0578274316064125E-2</v>
      </c>
      <c r="J18" s="167">
        <f>IFERROR('tablas evol IO CAT '!J18/'tablas evol IO CAT '!J31-1,"-")</f>
        <v>-6.8292195683688162E-2</v>
      </c>
    </row>
    <row r="19" spans="3:10" hidden="1" outlineLevel="1">
      <c r="C19" s="51" t="s">
        <v>38</v>
      </c>
      <c r="D19" s="167">
        <f>IFERROR('tablas evol IO CAT '!D19/'tablas evol IO CAT '!D32-1,"-")</f>
        <v>5.5916296503221607E-2</v>
      </c>
      <c r="E19" s="167">
        <f>IFERROR('tablas evol IO CAT '!E19/'tablas evol IO CAT '!E32-1,"-")</f>
        <v>-0.17602750759496488</v>
      </c>
      <c r="F19" s="167">
        <f>IFERROR('tablas evol IO CAT '!F19/'tablas evol IO CAT '!F32-1,"-")</f>
        <v>-7.727032409533563E-2</v>
      </c>
      <c r="G19" s="167">
        <f>IFERROR('tablas evol IO CAT '!G19/'tablas evol IO CAT '!G32-1,"-")</f>
        <v>0.14124550275376402</v>
      </c>
      <c r="H19" s="167">
        <f>IFERROR('tablas evol IO CAT '!H19/'tablas evol IO CAT '!H32-1,"-")</f>
        <v>-6.8582571376591406E-2</v>
      </c>
      <c r="I19" s="167">
        <f>IFERROR('tablas evol IO CAT '!I19/'tablas evol IO CAT '!I32-1,"-")</f>
        <v>-6.9150226183242069E-2</v>
      </c>
      <c r="J19" s="167">
        <f>IFERROR('tablas evol IO CAT '!J19/'tablas evol IO CAT '!J32-1,"-")</f>
        <v>-6.8118179876104357E-2</v>
      </c>
    </row>
    <row r="20" spans="3:10" hidden="1" outlineLevel="1">
      <c r="C20" s="51" t="s">
        <v>39</v>
      </c>
      <c r="D20" s="167">
        <f>IFERROR('tablas evol IO CAT '!D20/'tablas evol IO CAT '!D33-1,"-")</f>
        <v>-0.15842446193494453</v>
      </c>
      <c r="E20" s="167">
        <f>IFERROR('tablas evol IO CAT '!E20/'tablas evol IO CAT '!E33-1,"-")</f>
        <v>-0.36299546315433684</v>
      </c>
      <c r="F20" s="167">
        <f>IFERROR('tablas evol IO CAT '!F20/'tablas evol IO CAT '!F33-1,"-")</f>
        <v>-4.0392865629748087E-2</v>
      </c>
      <c r="G20" s="167">
        <f>IFERROR('tablas evol IO CAT '!G20/'tablas evol IO CAT '!G33-1,"-")</f>
        <v>-0.14885935923514293</v>
      </c>
      <c r="H20" s="167">
        <f>IFERROR('tablas evol IO CAT '!H20/'tablas evol IO CAT '!H33-1,"-")</f>
        <v>-0.11950572708264573</v>
      </c>
      <c r="I20" s="167">
        <f>IFERROR('tablas evol IO CAT '!I20/'tablas evol IO CAT '!I33-1,"-")</f>
        <v>-0.13363141961219882</v>
      </c>
      <c r="J20" s="167">
        <f>IFERROR('tablas evol IO CAT '!J20/'tablas evol IO CAT '!J33-1,"-")</f>
        <v>-0.12384199260595408</v>
      </c>
    </row>
    <row r="21" spans="3:10" hidden="1" outlineLevel="1">
      <c r="C21" s="51" t="s">
        <v>40</v>
      </c>
      <c r="D21" s="167">
        <f>IFERROR('tablas evol IO CAT '!D21/'tablas evol IO CAT '!D34-1,"-")</f>
        <v>8.8995172537098544E-3</v>
      </c>
      <c r="E21" s="167">
        <f>IFERROR('tablas evol IO CAT '!E21/'tablas evol IO CAT '!E34-1,"-")</f>
        <v>-0.26437363007924464</v>
      </c>
      <c r="F21" s="167">
        <f>IFERROR('tablas evol IO CAT '!F21/'tablas evol IO CAT '!F34-1,"-")</f>
        <v>-8.2435897435897521E-2</v>
      </c>
      <c r="G21" s="167">
        <f>IFERROR('tablas evol IO CAT '!G21/'tablas evol IO CAT '!G34-1,"-")</f>
        <v>-0.11261040235525011</v>
      </c>
      <c r="H21" s="167">
        <f>IFERROR('tablas evol IO CAT '!H21/'tablas evol IO CAT '!H34-1,"-")</f>
        <v>-0.11094614657848556</v>
      </c>
      <c r="I21" s="167">
        <f>IFERROR('tablas evol IO CAT '!I21/'tablas evol IO CAT '!I34-1,"-")</f>
        <v>-5.4459883460331704E-2</v>
      </c>
      <c r="J21" s="167">
        <f>IFERROR('tablas evol IO CAT '!J21/'tablas evol IO CAT '!J34-1,"-")</f>
        <v>-8.9784317003845593E-2</v>
      </c>
    </row>
    <row r="22" spans="3:10" hidden="1" outlineLevel="1">
      <c r="C22" s="51" t="s">
        <v>41</v>
      </c>
      <c r="D22" s="167">
        <f>IFERROR('tablas evol IO CAT '!D22/'tablas evol IO CAT '!D35-1,"-")</f>
        <v>-1.2680546629232459E-2</v>
      </c>
      <c r="E22" s="167">
        <f>IFERROR('tablas evol IO CAT '!E22/'tablas evol IO CAT '!E35-1,"-")</f>
        <v>-0.20597845818709903</v>
      </c>
      <c r="F22" s="167">
        <f>IFERROR('tablas evol IO CAT '!F22/'tablas evol IO CAT '!F35-1,"-")</f>
        <v>-7.7775410185382476E-2</v>
      </c>
      <c r="G22" s="167">
        <f>IFERROR('tablas evol IO CAT '!G22/'tablas evol IO CAT '!G35-1,"-")</f>
        <v>-0.15639202890106052</v>
      </c>
      <c r="H22" s="167">
        <f>IFERROR('tablas evol IO CAT '!H22/'tablas evol IO CAT '!H35-1,"-")</f>
        <v>-0.10823136818687429</v>
      </c>
      <c r="I22" s="167">
        <f>IFERROR('tablas evol IO CAT '!I22/'tablas evol IO CAT '!I35-1,"-")</f>
        <v>-9.7908597986057333E-2</v>
      </c>
      <c r="J22" s="167">
        <f>IFERROR('tablas evol IO CAT '!J22/'tablas evol IO CAT '!J35-1,"-")</f>
        <v>-0.10346604818966632</v>
      </c>
    </row>
    <row r="23" spans="3:10" hidden="1" outlineLevel="1">
      <c r="C23" s="51" t="s">
        <v>42</v>
      </c>
      <c r="D23" s="167">
        <f>IFERROR('tablas evol IO CAT '!D23/'tablas evol IO CAT '!D36-1,"-")</f>
        <v>8.3324333081326252E-2</v>
      </c>
      <c r="E23" s="167">
        <f>IFERROR('tablas evol IO CAT '!E23/'tablas evol IO CAT '!E36-1,"-")</f>
        <v>-0.11694379552013179</v>
      </c>
      <c r="F23" s="167">
        <f>IFERROR('tablas evol IO CAT '!F23/'tablas evol IO CAT '!F36-1,"-")</f>
        <v>-0.1363105972207489</v>
      </c>
      <c r="G23" s="167">
        <f>IFERROR('tablas evol IO CAT '!G23/'tablas evol IO CAT '!G36-1,"-")</f>
        <v>-0.2904611211573237</v>
      </c>
      <c r="H23" s="167">
        <f>IFERROR('tablas evol IO CAT '!H23/'tablas evol IO CAT '!H36-1,"-")</f>
        <v>-0.14679211063250963</v>
      </c>
      <c r="I23" s="167">
        <f>IFERROR('tablas evol IO CAT '!I23/'tablas evol IO CAT '!I36-1,"-")</f>
        <v>-0.17385083169379356</v>
      </c>
      <c r="J23" s="167">
        <f>IFERROR('tablas evol IO CAT '!J23/'tablas evol IO CAT '!J36-1,"-")</f>
        <v>-0.1560088202866593</v>
      </c>
    </row>
    <row r="24" spans="3:10" hidden="1" outlineLevel="1">
      <c r="C24" s="51" t="s">
        <v>43</v>
      </c>
      <c r="D24" s="167">
        <f>IFERROR('tablas evol IO CAT '!D24/'tablas evol IO CAT '!D37-1,"-")</f>
        <v>-9.5395496224155774E-2</v>
      </c>
      <c r="E24" s="167">
        <f>IFERROR('tablas evol IO CAT '!E24/'tablas evol IO CAT '!E37-1,"-")</f>
        <v>-0.12229409653630674</v>
      </c>
      <c r="F24" s="167">
        <f>IFERROR('tablas evol IO CAT '!F24/'tablas evol IO CAT '!F37-1,"-")</f>
        <v>-0.15631900625506956</v>
      </c>
      <c r="G24" s="167">
        <f>IFERROR('tablas evol IO CAT '!G24/'tablas evol IO CAT '!G37-1,"-")</f>
        <v>-0.34820906901514825</v>
      </c>
      <c r="H24" s="167">
        <f>IFERROR('tablas evol IO CAT '!H24/'tablas evol IO CAT '!H37-1,"-")</f>
        <v>-0.174341926918399</v>
      </c>
      <c r="I24" s="167">
        <f>IFERROR('tablas evol IO CAT '!I24/'tablas evol IO CAT '!I37-1,"-")</f>
        <v>-0.18400830040811023</v>
      </c>
      <c r="J24" s="167">
        <f>IFERROR('tablas evol IO CAT '!J24/'tablas evol IO CAT '!J37-1,"-")</f>
        <v>-0.17789261476041629</v>
      </c>
    </row>
    <row r="25" spans="3:10" hidden="1" outlineLevel="1">
      <c r="C25" s="51" t="s">
        <v>44</v>
      </c>
      <c r="D25" s="167">
        <f>IFERROR('tablas evol IO CAT '!D25/'tablas evol IO CAT '!D38-1,"-")</f>
        <v>-8.3992151243882152E-2</v>
      </c>
      <c r="E25" s="167">
        <f>IFERROR('tablas evol IO CAT '!E25/'tablas evol IO CAT '!E38-1,"-")</f>
        <v>-0.27049180327868838</v>
      </c>
      <c r="F25" s="167">
        <f>IFERROR('tablas evol IO CAT '!F25/'tablas evol IO CAT '!F38-1,"-")</f>
        <v>-0.16362308254200153</v>
      </c>
      <c r="G25" s="167">
        <f>IFERROR('tablas evol IO CAT '!G25/'tablas evol IO CAT '!G38-1,"-")</f>
        <v>-0.34230108757870625</v>
      </c>
      <c r="H25" s="167">
        <f>IFERROR('tablas evol IO CAT '!H25/'tablas evol IO CAT '!H38-1,"-")</f>
        <v>-0.2123705490140444</v>
      </c>
      <c r="I25" s="167">
        <f>IFERROR('tablas evol IO CAT '!I25/'tablas evol IO CAT '!I38-1,"-")</f>
        <v>-0.24464618249534442</v>
      </c>
      <c r="J25" s="167">
        <f>IFERROR('tablas evol IO CAT '!J25/'tablas evol IO CAT '!J38-1,"-")</f>
        <v>-0.22400838720950556</v>
      </c>
    </row>
    <row r="26" spans="3:10" hidden="1" outlineLevel="1">
      <c r="C26" s="51" t="s">
        <v>45</v>
      </c>
      <c r="D26" s="167">
        <f>IFERROR('tablas evol IO CAT '!D26/'tablas evol IO CAT '!D39-1,"-")</f>
        <v>6.067142946749815E-2</v>
      </c>
      <c r="E26" s="167">
        <f>IFERROR('tablas evol IO CAT '!E26/'tablas evol IO CAT '!E39-1,"-")</f>
        <v>-0.2376658382268021</v>
      </c>
      <c r="F26" s="167">
        <f>IFERROR('tablas evol IO CAT '!F26/'tablas evol IO CAT '!F39-1,"-")</f>
        <v>-0.12771904269775325</v>
      </c>
      <c r="G26" s="167">
        <f>IFERROR('tablas evol IO CAT '!G26/'tablas evol IO CAT '!G39-1,"-")</f>
        <v>-0.26867079744291522</v>
      </c>
      <c r="H26" s="167">
        <f>IFERROR('tablas evol IO CAT '!H26/'tablas evol IO CAT '!H39-1,"-")</f>
        <v>-0.16692407327581427</v>
      </c>
      <c r="I26" s="167">
        <f>IFERROR('tablas evol IO CAT '!I26/'tablas evol IO CAT '!I39-1,"-")</f>
        <v>-8.4134988892481721E-2</v>
      </c>
      <c r="J26" s="167">
        <f>IFERROR('tablas evol IO CAT '!J26/'tablas evol IO CAT '!J39-1,"-")</f>
        <v>-0.13725547858154186</v>
      </c>
    </row>
    <row r="27" spans="3:10" hidden="1" outlineLevel="1">
      <c r="C27" s="51" t="s">
        <v>46</v>
      </c>
      <c r="D27" s="167">
        <f>IFERROR('tablas evol IO CAT '!D27/'tablas evol IO CAT '!D40-1,"-")</f>
        <v>0.18305564331140212</v>
      </c>
      <c r="E27" s="167">
        <f>IFERROR('tablas evol IO CAT '!E27/'tablas evol IO CAT '!E40-1,"-")</f>
        <v>-0.15925465838509312</v>
      </c>
      <c r="F27" s="167">
        <f>IFERROR('tablas evol IO CAT '!F27/'tablas evol IO CAT '!F40-1,"-")</f>
        <v>-0.21759314367337224</v>
      </c>
      <c r="G27" s="167">
        <f>IFERROR('tablas evol IO CAT '!G27/'tablas evol IO CAT '!G40-1,"-")</f>
        <v>-0.34732948982921796</v>
      </c>
      <c r="H27" s="167">
        <f>IFERROR('tablas evol IO CAT '!H27/'tablas evol IO CAT '!H40-1,"-")</f>
        <v>-0.21818831091536717</v>
      </c>
      <c r="I27" s="167">
        <f>IFERROR('tablas evol IO CAT '!I27/'tablas evol IO CAT '!I40-1,"-")</f>
        <v>-0.1944256756756757</v>
      </c>
      <c r="J27" s="167">
        <f>IFERROR('tablas evol IO CAT '!J27/'tablas evol IO CAT '!J40-1,"-")</f>
        <v>-0.20871495975575904</v>
      </c>
    </row>
    <row r="28" spans="3:10" hidden="1" outlineLevel="1">
      <c r="C28" s="51" t="s">
        <v>47</v>
      </c>
      <c r="D28" s="167">
        <f>IFERROR('tablas evol IO CAT '!D28/'tablas evol IO CAT '!D41-1,"-")</f>
        <v>2.4551712785382485E-2</v>
      </c>
      <c r="E28" s="167">
        <f>IFERROR('tablas evol IO CAT '!E28/'tablas evol IO CAT '!E41-1,"-")</f>
        <v>-0.14789736279401289</v>
      </c>
      <c r="F28" s="167">
        <f>IFERROR('tablas evol IO CAT '!F28/'tablas evol IO CAT '!F41-1,"-")</f>
        <v>-0.14160620465349005</v>
      </c>
      <c r="G28" s="167">
        <f>IFERROR('tablas evol IO CAT '!G28/'tablas evol IO CAT '!G41-1,"-")</f>
        <v>-0.28255668223766661</v>
      </c>
      <c r="H28" s="167">
        <f>IFERROR('tablas evol IO CAT '!H28/'tablas evol IO CAT '!H41-1,"-")</f>
        <v>-0.16237333658893904</v>
      </c>
      <c r="I28" s="167">
        <f>IFERROR('tablas evol IO CAT '!I28/'tablas evol IO CAT '!I41-1,"-")</f>
        <v>-0.1349631614199599</v>
      </c>
      <c r="J28" s="167">
        <f>IFERROR('tablas evol IO CAT '!J28/'tablas evol IO CAT '!J41-1,"-")</f>
        <v>-0.15134072722167624</v>
      </c>
    </row>
    <row r="29" spans="3:10" hidden="1" outlineLevel="1">
      <c r="C29" s="51" t="s">
        <v>48</v>
      </c>
      <c r="D29" s="167">
        <f>IFERROR('tablas evol IO CAT '!D29/'tablas evol IO CAT '!D42-1,"-")</f>
        <v>-9.243817393613718E-2</v>
      </c>
      <c r="E29" s="167">
        <f>IFERROR('tablas evol IO CAT '!E29/'tablas evol IO CAT '!E42-1,"-")</f>
        <v>-0.12290918101846104</v>
      </c>
      <c r="F29" s="167">
        <f>IFERROR('tablas evol IO CAT '!F29/'tablas evol IO CAT '!F42-1,"-")</f>
        <v>-0.10154715127701375</v>
      </c>
      <c r="G29" s="167">
        <f>IFERROR('tablas evol IO CAT '!G29/'tablas evol IO CAT '!G42-1,"-")</f>
        <v>-0.21490186273284162</v>
      </c>
      <c r="H29" s="167">
        <f>IFERROR('tablas evol IO CAT '!H29/'tablas evol IO CAT '!H42-1,"-")</f>
        <v>-0.12049382716049384</v>
      </c>
      <c r="I29" s="167">
        <f>IFERROR('tablas evol IO CAT '!I29/'tablas evol IO CAT '!I42-1,"-")</f>
        <v>-0.10847637586267911</v>
      </c>
      <c r="J29" s="167">
        <f>IFERROR('tablas evol IO CAT '!J29/'tablas evol IO CAT '!J42-1,"-")</f>
        <v>-0.11560693641618491</v>
      </c>
    </row>
    <row r="30" spans="3:10" collapsed="1">
      <c r="C30" s="56">
        <v>2009</v>
      </c>
      <c r="D30" s="169">
        <f>IFERROR('tablas evol IO CAT '!D30/'tablas evol IO CAT '!D43-1,"-")</f>
        <v>-1.9393898328453174E-2</v>
      </c>
      <c r="E30" s="169">
        <f>IFERROR('tablas evol IO CAT '!E30/'tablas evol IO CAT '!E43-1,"-")</f>
        <v>-0.19689371132022249</v>
      </c>
      <c r="F30" s="169">
        <f>IFERROR('tablas evol IO CAT '!F30/'tablas evol IO CAT '!F43-1,"-")</f>
        <v>-0.11212712254759638</v>
      </c>
      <c r="G30" s="169">
        <f>IFERROR('tablas evol IO CAT '!G30/'tablas evol IO CAT '!G43-1,"-")</f>
        <v>-0.21463880096494892</v>
      </c>
      <c r="H30" s="169">
        <f>IFERROR('tablas evol IO CAT '!H30/'tablas evol IO CAT '!H43-1,"-")</f>
        <v>-0.13991362724767653</v>
      </c>
      <c r="I30" s="169">
        <f>IFERROR('tablas evol IO CAT '!I30/'tablas evol IO CAT '!I43-1,"-")</f>
        <v>-0.13054044814981269</v>
      </c>
      <c r="J30" s="169">
        <f>IFERROR('tablas evol IO CAT '!J30/'tablas evol IO CAT '!J43-1,"-")</f>
        <v>-0.13599251003488055</v>
      </c>
    </row>
    <row r="31" spans="3:10" hidden="1" outlineLevel="1">
      <c r="C31" s="51" t="s">
        <v>37</v>
      </c>
      <c r="D31" s="167">
        <f>IFERROR('tablas evol IO CAT '!D31/'tablas evol IO CAT '!D44-1,"-")</f>
        <v>-1.2284453217095148E-3</v>
      </c>
      <c r="E31" s="167">
        <f>IFERROR('tablas evol IO CAT '!E31/'tablas evol IO CAT '!E44-1,"-")</f>
        <v>-1.8222596019065174E-3</v>
      </c>
      <c r="F31" s="167">
        <f>IFERROR('tablas evol IO CAT '!F31/'tablas evol IO CAT '!F44-1,"-")</f>
        <v>-6.4801372574897709E-2</v>
      </c>
      <c r="G31" s="167">
        <f>IFERROR('tablas evol IO CAT '!G31/'tablas evol IO CAT '!G44-1,"-")</f>
        <v>-0.22057331303906647</v>
      </c>
      <c r="H31" s="167">
        <f>IFERROR('tablas evol IO CAT '!H31/'tablas evol IO CAT '!H44-1,"-")</f>
        <v>-7.0972037283621781E-2</v>
      </c>
      <c r="I31" s="167">
        <f>IFERROR('tablas evol IO CAT '!I31/'tablas evol IO CAT '!I44-1,"-")</f>
        <v>-8.560165196170455E-2</v>
      </c>
      <c r="J31" s="167">
        <f>IFERROR('tablas evol IO CAT '!J31/'tablas evol IO CAT '!J44-1,"-")</f>
        <v>-7.6863474353014105E-2</v>
      </c>
    </row>
    <row r="32" spans="3:10" hidden="1" outlineLevel="1">
      <c r="C32" s="51" t="s">
        <v>38</v>
      </c>
      <c r="D32" s="167">
        <f>IFERROR('tablas evol IO CAT '!D32/'tablas evol IO CAT '!D45-1,"-")</f>
        <v>-0.13038891139012632</v>
      </c>
      <c r="E32" s="167">
        <f>IFERROR('tablas evol IO CAT '!E32/'tablas evol IO CAT '!E45-1,"-")</f>
        <v>5.9571088165208952E-3</v>
      </c>
      <c r="F32" s="167">
        <f>IFERROR('tablas evol IO CAT '!F32/'tablas evol IO CAT '!F45-1,"-")</f>
        <v>-4.6098853691606045E-2</v>
      </c>
      <c r="G32" s="167">
        <f>IFERROR('tablas evol IO CAT '!G32/'tablas evol IO CAT '!G45-1,"-")</f>
        <v>-0.16646591182847503</v>
      </c>
      <c r="H32" s="167">
        <f>IFERROR('tablas evol IO CAT '!H32/'tablas evol IO CAT '!H45-1,"-")</f>
        <v>-5.225000000000013E-2</v>
      </c>
      <c r="I32" s="167">
        <f>IFERROR('tablas evol IO CAT '!I32/'tablas evol IO CAT '!I45-1,"-")</f>
        <v>-0.10040087463556857</v>
      </c>
      <c r="J32" s="167">
        <f>IFERROR('tablas evol IO CAT '!J32/'tablas evol IO CAT '!J45-1,"-")</f>
        <v>-7.1196933962264231E-2</v>
      </c>
    </row>
    <row r="33" spans="3:10" hidden="1" outlineLevel="1">
      <c r="C33" s="51" t="s">
        <v>39</v>
      </c>
      <c r="D33" s="167">
        <f>IFERROR('tablas evol IO CAT '!D33/'tablas evol IO CAT '!D46-1,"-")</f>
        <v>-5.4894055090408567E-2</v>
      </c>
      <c r="E33" s="167">
        <f>IFERROR('tablas evol IO CAT '!E33/'tablas evol IO CAT '!E46-1,"-")</f>
        <v>0.11416009702850216</v>
      </c>
      <c r="F33" s="167">
        <f>IFERROR('tablas evol IO CAT '!F33/'tablas evol IO CAT '!F46-1,"-")</f>
        <v>-6.7715959004392312E-2</v>
      </c>
      <c r="G33" s="167">
        <f>IFERROR('tablas evol IO CAT '!G33/'tablas evol IO CAT '!G46-1,"-")</f>
        <v>-5.0242550242550199E-2</v>
      </c>
      <c r="H33" s="167">
        <f>IFERROR('tablas evol IO CAT '!H33/'tablas evol IO CAT '!H46-1,"-")</f>
        <v>-2.7745959017436594E-2</v>
      </c>
      <c r="I33" s="167">
        <f>IFERROR('tablas evol IO CAT '!I33/'tablas evol IO CAT '!I46-1,"-")</f>
        <v>-6.6078431372548985E-2</v>
      </c>
      <c r="J33" s="167">
        <f>IFERROR('tablas evol IO CAT '!J33/'tablas evol IO CAT '!J46-1,"-")</f>
        <v>-4.2618427104093248E-2</v>
      </c>
    </row>
    <row r="34" spans="3:10" hidden="1" outlineLevel="1">
      <c r="C34" s="51" t="s">
        <v>40</v>
      </c>
      <c r="D34" s="167">
        <f>IFERROR('tablas evol IO CAT '!D34/'tablas evol IO CAT '!D47-1,"-")</f>
        <v>-0.11051348795491989</v>
      </c>
      <c r="E34" s="167">
        <f>IFERROR('tablas evol IO CAT '!E34/'tablas evol IO CAT '!E47-1,"-")</f>
        <v>-0.1040785498489426</v>
      </c>
      <c r="F34" s="167">
        <f>IFERROR('tablas evol IO CAT '!F34/'tablas evol IO CAT '!F47-1,"-")</f>
        <v>-5.1020408163265918E-3</v>
      </c>
      <c r="G34" s="167">
        <f>IFERROR('tablas evol IO CAT '!G34/'tablas evol IO CAT '!G47-1,"-")</f>
        <v>-1.2836037781545184E-2</v>
      </c>
      <c r="H34" s="167">
        <f>IFERROR('tablas evol IO CAT '!H34/'tablas evol IO CAT '!H47-1,"-")</f>
        <v>-2.4232846042407497E-2</v>
      </c>
      <c r="I34" s="167">
        <f>IFERROR('tablas evol IO CAT '!I34/'tablas evol IO CAT '!I47-1,"-")</f>
        <v>-8.8849400266549639E-3</v>
      </c>
      <c r="J34" s="167">
        <f>IFERROR('tablas evol IO CAT '!J34/'tablas evol IO CAT '!J47-1,"-")</f>
        <v>-1.9025750369033867E-2</v>
      </c>
    </row>
    <row r="35" spans="3:10" hidden="1" outlineLevel="1">
      <c r="C35" s="51" t="s">
        <v>41</v>
      </c>
      <c r="D35" s="167">
        <f>IFERROR('tablas evol IO CAT '!D35/'tablas evol IO CAT '!D48-1,"-")</f>
        <v>0.39815389521730893</v>
      </c>
      <c r="E35" s="167">
        <f>IFERROR('tablas evol IO CAT '!E35/'tablas evol IO CAT '!E48-1,"-")</f>
        <v>-6.2088535754824092E-2</v>
      </c>
      <c r="F35" s="167">
        <f>IFERROR('tablas evol IO CAT '!F35/'tablas evol IO CAT '!F48-1,"-")</f>
        <v>9.1388022793248425E-3</v>
      </c>
      <c r="G35" s="167">
        <f>IFERROR('tablas evol IO CAT '!G35/'tablas evol IO CAT '!G48-1,"-")</f>
        <v>-3.8004484304932751E-2</v>
      </c>
      <c r="H35" s="167">
        <f>IFERROR('tablas evol IO CAT '!H35/'tablas evol IO CAT '!H48-1,"-")</f>
        <v>-6.9590191096873255E-3</v>
      </c>
      <c r="I35" s="167">
        <f>IFERROR('tablas evol IO CAT '!I35/'tablas evol IO CAT '!I48-1,"-")</f>
        <v>9.066750039080862E-3</v>
      </c>
      <c r="J35" s="167">
        <f>IFERROR('tablas evol IO CAT '!J35/'tablas evol IO CAT '!J48-1,"-")</f>
        <v>-9.0113285272919175E-4</v>
      </c>
    </row>
    <row r="36" spans="3:10" hidden="1" outlineLevel="1">
      <c r="C36" s="51" t="s">
        <v>42</v>
      </c>
      <c r="D36" s="167">
        <f>IFERROR('tablas evol IO CAT '!D36/'tablas evol IO CAT '!D49-1,"-")</f>
        <v>0.28167883455012155</v>
      </c>
      <c r="E36" s="167">
        <f>IFERROR('tablas evol IO CAT '!E36/'tablas evol IO CAT '!E49-1,"-")</f>
        <v>3.7940379403794022E-2</v>
      </c>
      <c r="F36" s="167">
        <f>IFERROR('tablas evol IO CAT '!F36/'tablas evol IO CAT '!F49-1,"-")</f>
        <v>5.329608938547481E-2</v>
      </c>
      <c r="G36" s="167">
        <f>IFERROR('tablas evol IO CAT '!G36/'tablas evol IO CAT '!G49-1,"-")</f>
        <v>0.22701428373318544</v>
      </c>
      <c r="H36" s="167">
        <f>IFERROR('tablas evol IO CAT '!H36/'tablas evol IO CAT '!H49-1,"-")</f>
        <v>7.7298815484186045E-2</v>
      </c>
      <c r="I36" s="167">
        <f>IFERROR('tablas evol IO CAT '!I36/'tablas evol IO CAT '!I49-1,"-")</f>
        <v>9.3059628543499473E-2</v>
      </c>
      <c r="J36" s="167">
        <f>IFERROR('tablas evol IO CAT '!J36/'tablas evol IO CAT '!J49-1,"-")</f>
        <v>8.282345918519618E-2</v>
      </c>
    </row>
    <row r="37" spans="3:10" hidden="1" outlineLevel="1">
      <c r="C37" s="51" t="s">
        <v>43</v>
      </c>
      <c r="D37" s="167">
        <f>IFERROR('tablas evol IO CAT '!D37/'tablas evol IO CAT '!D50-1,"-")</f>
        <v>0.58560321727770859</v>
      </c>
      <c r="E37" s="167">
        <f>IFERROR('tablas evol IO CAT '!E37/'tablas evol IO CAT '!E50-1,"-")</f>
        <v>0.12679298742695244</v>
      </c>
      <c r="F37" s="167">
        <f>IFERROR('tablas evol IO CAT '!F37/'tablas evol IO CAT '!F50-1,"-")</f>
        <v>3.8551886140665959E-2</v>
      </c>
      <c r="G37" s="167">
        <f>IFERROR('tablas evol IO CAT '!G37/'tablas evol IO CAT '!G50-1,"-")</f>
        <v>0.30147752279157491</v>
      </c>
      <c r="H37" s="167">
        <f>IFERROR('tablas evol IO CAT '!H37/'tablas evol IO CAT '!H50-1,"-")</f>
        <v>9.6658174734002733E-2</v>
      </c>
      <c r="I37" s="167">
        <f>IFERROR('tablas evol IO CAT '!I37/'tablas evol IO CAT '!I50-1,"-")</f>
        <v>0.13689440993788815</v>
      </c>
      <c r="J37" s="167">
        <f>IFERROR('tablas evol IO CAT '!J37/'tablas evol IO CAT '!J50-1,"-")</f>
        <v>0.1134211991832188</v>
      </c>
    </row>
    <row r="38" spans="3:10" hidden="1" outlineLevel="1">
      <c r="C38" s="51" t="s">
        <v>44</v>
      </c>
      <c r="D38" s="167">
        <f>IFERROR('tablas evol IO CAT '!D38/'tablas evol IO CAT '!D51-1,"-")</f>
        <v>0.62298456499773547</v>
      </c>
      <c r="E38" s="167">
        <f>IFERROR('tablas evol IO CAT '!E38/'tablas evol IO CAT '!E51-1,"-")</f>
        <v>0.53546910755148724</v>
      </c>
      <c r="F38" s="167">
        <f>IFERROR('tablas evol IO CAT '!F38/'tablas evol IO CAT '!F51-1,"-")</f>
        <v>7.2715875254662388E-2</v>
      </c>
      <c r="G38" s="167">
        <f>IFERROR('tablas evol IO CAT '!G38/'tablas evol IO CAT '!G51-1,"-")</f>
        <v>0.37580721373444614</v>
      </c>
      <c r="H38" s="167">
        <f>IFERROR('tablas evol IO CAT '!H38/'tablas evol IO CAT '!H51-1,"-")</f>
        <v>0.20743405275779359</v>
      </c>
      <c r="I38" s="167">
        <f>IFERROR('tablas evol IO CAT '!I38/'tablas evol IO CAT '!I51-1,"-")</f>
        <v>0.17892425905598253</v>
      </c>
      <c r="J38" s="167">
        <f>IFERROR('tablas evol IO CAT '!J38/'tablas evol IO CAT '!J51-1,"-")</f>
        <v>0.19903624554787336</v>
      </c>
    </row>
    <row r="39" spans="3:10" hidden="1" outlineLevel="1">
      <c r="C39" s="51" t="s">
        <v>45</v>
      </c>
      <c r="D39" s="167">
        <f>IFERROR('tablas evol IO CAT '!D39/'tablas evol IO CAT '!D52-1,"-")</f>
        <v>0.62734767310981732</v>
      </c>
      <c r="E39" s="167">
        <f>IFERROR('tablas evol IO CAT '!E39/'tablas evol IO CAT '!E52-1,"-")</f>
        <v>0.2236694002251165</v>
      </c>
      <c r="F39" s="167">
        <f>IFERROR('tablas evol IO CAT '!F39/'tablas evol IO CAT '!F52-1,"-")</f>
        <v>0</v>
      </c>
      <c r="G39" s="167">
        <f>IFERROR('tablas evol IO CAT '!G39/'tablas evol IO CAT '!G52-1,"-")</f>
        <v>7.0367288719838328E-2</v>
      </c>
      <c r="H39" s="167">
        <f>IFERROR('tablas evol IO CAT '!H39/'tablas evol IO CAT '!H52-1,"-")</f>
        <v>6.1971458773784294E-2</v>
      </c>
      <c r="I39" s="167">
        <f>IFERROR('tablas evol IO CAT '!I39/'tablas evol IO CAT '!I52-1,"-")</f>
        <v>-5.0501080762428763E-2</v>
      </c>
      <c r="J39" s="167">
        <f>IFERROR('tablas evol IO CAT '!J39/'tablas evol IO CAT '!J52-1,"-")</f>
        <v>2.0427404148334327E-2</v>
      </c>
    </row>
    <row r="40" spans="3:10" hidden="1" outlineLevel="1">
      <c r="C40" s="51" t="s">
        <v>46</v>
      </c>
      <c r="D40" s="167">
        <f>IFERROR('tablas evol IO CAT '!D40/'tablas evol IO CAT '!D53-1,"-")</f>
        <v>-4.5946515616437145E-2</v>
      </c>
      <c r="E40" s="167">
        <f>IFERROR('tablas evol IO CAT '!E40/'tablas evol IO CAT '!E53-1,"-")</f>
        <v>0.13524185587364279</v>
      </c>
      <c r="F40" s="167">
        <f>IFERROR('tablas evol IO CAT '!F40/'tablas evol IO CAT '!F53-1,"-")</f>
        <v>9.7739448582255362E-2</v>
      </c>
      <c r="G40" s="167">
        <f>IFERROR('tablas evol IO CAT '!G40/'tablas evol IO CAT '!G53-1,"-")</f>
        <v>0.15795440231767244</v>
      </c>
      <c r="H40" s="167">
        <f>IFERROR('tablas evol IO CAT '!H40/'tablas evol IO CAT '!H53-1,"-")</f>
        <v>0.11197882197220399</v>
      </c>
      <c r="I40" s="167">
        <f>IFERROR('tablas evol IO CAT '!I40/'tablas evol IO CAT '!I53-1,"-")</f>
        <v>9.8942340498124892E-3</v>
      </c>
      <c r="J40" s="167">
        <f>IFERROR('tablas evol IO CAT '!J40/'tablas evol IO CAT '!J53-1,"-")</f>
        <v>7.0251002524877482E-2</v>
      </c>
    </row>
    <row r="41" spans="3:10" hidden="1" outlineLevel="1">
      <c r="C41" s="51" t="s">
        <v>47</v>
      </c>
      <c r="D41" s="167">
        <f>IFERROR('tablas evol IO CAT '!D41/'tablas evol IO CAT '!D54-1,"-")</f>
        <v>-4.3797022512708894E-2</v>
      </c>
      <c r="E41" s="167">
        <f>IFERROR('tablas evol IO CAT '!E41/'tablas evol IO CAT '!E54-1,"-")</f>
        <v>0.17046718576195774</v>
      </c>
      <c r="F41" s="167">
        <f>IFERROR('tablas evol IO CAT '!F41/'tablas evol IO CAT '!F54-1,"-")</f>
        <v>5.6429232192414469E-2</v>
      </c>
      <c r="G41" s="167">
        <f>IFERROR('tablas evol IO CAT '!G41/'tablas evol IO CAT '!G54-1,"-")</f>
        <v>2.5110955384255895E-2</v>
      </c>
      <c r="H41" s="167">
        <f>IFERROR('tablas evol IO CAT '!H41/'tablas evol IO CAT '!H54-1,"-")</f>
        <v>7.5075469221682622E-2</v>
      </c>
      <c r="I41" s="167">
        <f>IFERROR('tablas evol IO CAT '!I41/'tablas evol IO CAT '!I54-1,"-")</f>
        <v>1.4783347493627863E-2</v>
      </c>
      <c r="J41" s="167">
        <f>IFERROR('tablas evol IO CAT '!J41/'tablas evol IO CAT '!J54-1,"-")</f>
        <v>5.1055039102847921E-2</v>
      </c>
    </row>
    <row r="42" spans="3:10" hidden="1" outlineLevel="1">
      <c r="C42" s="51" t="s">
        <v>48</v>
      </c>
      <c r="D42" s="167">
        <f>IFERROR('tablas evol IO CAT '!D42/'tablas evol IO CAT '!D55-1,"-")</f>
        <v>-9.8517056617649645E-3</v>
      </c>
      <c r="E42" s="167">
        <f>IFERROR('tablas evol IO CAT '!E42/'tablas evol IO CAT '!E55-1,"-")</f>
        <v>0.17174796747967469</v>
      </c>
      <c r="F42" s="167">
        <f>IFERROR('tablas evol IO CAT '!F42/'tablas evol IO CAT '!F55-1,"-")</f>
        <v>3.5736996057484482E-2</v>
      </c>
      <c r="G42" s="167">
        <f>IFERROR('tablas evol IO CAT '!G42/'tablas evol IO CAT '!G55-1,"-")</f>
        <v>-1.8888752606402659E-2</v>
      </c>
      <c r="H42" s="167">
        <f>IFERROR('tablas evol IO CAT '!H42/'tablas evol IO CAT '!H55-1,"-")</f>
        <v>5.7441253263707637E-2</v>
      </c>
      <c r="I42" s="167">
        <f>IFERROR('tablas evol IO CAT '!I42/'tablas evol IO CAT '!I55-1,"-")</f>
        <v>5.6949635166398949E-3</v>
      </c>
      <c r="J42" s="167">
        <f>IFERROR('tablas evol IO CAT '!J42/'tablas evol IO CAT '!J55-1,"-")</f>
        <v>3.7636827110511417E-2</v>
      </c>
    </row>
    <row r="43" spans="3:10" collapsed="1">
      <c r="C43" s="58">
        <v>2008</v>
      </c>
      <c r="D43" s="170">
        <f>IFERROR('tablas evol IO CAT '!D43/'tablas evol IO CAT '!D56-1,"-")</f>
        <v>0.1004298237054837</v>
      </c>
      <c r="E43" s="170">
        <f>IFERROR('tablas evol IO CAT '!E43/'tablas evol IO CAT '!E56-1,"-")</f>
        <v>9.6135502761961922E-2</v>
      </c>
      <c r="F43" s="170">
        <f>IFERROR('tablas evol IO CAT '!F43/'tablas evol IO CAT '!F56-1,"-")</f>
        <v>1.3258271589824178E-2</v>
      </c>
      <c r="G43" s="170">
        <f>IFERROR('tablas evol IO CAT '!G43/'tablas evol IO CAT '!G56-1,"-")</f>
        <v>4.0587670871809145E-2</v>
      </c>
      <c r="H43" s="170">
        <f>IFERROR('tablas evol IO CAT '!H43/'tablas evol IO CAT '!H56-1,"-")</f>
        <v>3.7154145147359818E-2</v>
      </c>
      <c r="I43" s="170">
        <f>IFERROR('tablas evol IO CAT '!I43/'tablas evol IO CAT '!I56-1,"-")</f>
        <v>5.0049367512734477E-3</v>
      </c>
      <c r="J43" s="170">
        <f>IFERROR('tablas evol IO CAT '!J43/'tablas evol IO CAT '!J56-1,"-")</f>
        <v>2.5365732768151794E-2</v>
      </c>
    </row>
    <row r="44" spans="3:10" hidden="1" outlineLevel="1">
      <c r="C44" s="51" t="s">
        <v>37</v>
      </c>
      <c r="D44" s="167">
        <f>IFERROR('tablas evol IO CAT '!D44/'tablas evol IO CAT '!D57-1,"-")</f>
        <v>5.4909224082822616E-2</v>
      </c>
      <c r="E44" s="167">
        <f>IFERROR('tablas evol IO CAT '!E44/'tablas evol IO CAT '!E57-1,"-")</f>
        <v>0.12293404690697307</v>
      </c>
      <c r="F44" s="167">
        <f>IFERROR('tablas evol IO CAT '!F44/'tablas evol IO CAT '!F57-1,"-")</f>
        <v>2.6972079154242268E-2</v>
      </c>
      <c r="G44" s="167">
        <f>IFERROR('tablas evol IO CAT '!G44/'tablas evol IO CAT '!G57-1,"-")</f>
        <v>-2.3048327137546454E-2</v>
      </c>
      <c r="H44" s="167">
        <f>IFERROR('tablas evol IO CAT '!H44/'tablas evol IO CAT '!H57-1,"-")</f>
        <v>4.1608876560332853E-2</v>
      </c>
      <c r="I44" s="167">
        <f>IFERROR('tablas evol IO CAT '!I44/'tablas evol IO CAT '!I57-1,"-")</f>
        <v>2.659471959915205E-2</v>
      </c>
      <c r="J44" s="167">
        <f>IFERROR('tablas evol IO CAT '!J44/'tablas evol IO CAT '!J57-1,"-")</f>
        <v>3.5628310062590263E-2</v>
      </c>
    </row>
    <row r="45" spans="3:10" hidden="1" outlineLevel="1">
      <c r="C45" s="51" t="s">
        <v>38</v>
      </c>
      <c r="D45" s="167">
        <f>IFERROR('tablas evol IO CAT '!D45/'tablas evol IO CAT '!D58-1,"-")</f>
        <v>0.11324232543571267</v>
      </c>
      <c r="E45" s="167">
        <f>IFERROR('tablas evol IO CAT '!E45/'tablas evol IO CAT '!E58-1,"-")</f>
        <v>0.16971198513471686</v>
      </c>
      <c r="F45" s="167">
        <f>IFERROR('tablas evol IO CAT '!F45/'tablas evol IO CAT '!F58-1,"-")</f>
        <v>4.1062491979981797E-2</v>
      </c>
      <c r="G45" s="167">
        <f>IFERROR('tablas evol IO CAT '!G45/'tablas evol IO CAT '!G58-1,"-")</f>
        <v>-0.10846219931271484</v>
      </c>
      <c r="H45" s="167">
        <f>IFERROR('tablas evol IO CAT '!H45/'tablas evol IO CAT '!H58-1,"-")</f>
        <v>4.6298718284070173E-2</v>
      </c>
      <c r="I45" s="167">
        <f>IFERROR('tablas evol IO CAT '!I45/'tablas evol IO CAT '!I58-1,"-")</f>
        <v>3.7429111531191106E-2</v>
      </c>
      <c r="J45" s="167">
        <f>IFERROR('tablas evol IO CAT '!J45/'tablas evol IO CAT '!J58-1,"-")</f>
        <v>4.3050430504304904E-2</v>
      </c>
    </row>
    <row r="46" spans="3:10" hidden="1" outlineLevel="1">
      <c r="C46" s="51" t="s">
        <v>39</v>
      </c>
      <c r="D46" s="167">
        <f>IFERROR('tablas evol IO CAT '!D46/'tablas evol IO CAT '!D59-1,"-")</f>
        <v>6.618096357687131E-2</v>
      </c>
      <c r="E46" s="167">
        <f>IFERROR('tablas evol IO CAT '!E46/'tablas evol IO CAT '!E59-1,"-")</f>
        <v>1.3989239046886981E-2</v>
      </c>
      <c r="F46" s="167">
        <f>IFERROR('tablas evol IO CAT '!F46/'tablas evol IO CAT '!F59-1,"-")</f>
        <v>-6.0091743119266128E-2</v>
      </c>
      <c r="G46" s="167">
        <f>IFERROR('tablas evol IO CAT '!G46/'tablas evol IO CAT '!G59-1,"-")</f>
        <v>9.1115311909262919E-2</v>
      </c>
      <c r="H46" s="167">
        <f>IFERROR('tablas evol IO CAT '!H46/'tablas evol IO CAT '!H59-1,"-")</f>
        <v>-2.2761194029850884E-2</v>
      </c>
      <c r="I46" s="167">
        <f>IFERROR('tablas evol IO CAT '!I46/'tablas evol IO CAT '!I59-1,"-")</f>
        <v>-2.764537654909438E-2</v>
      </c>
      <c r="J46" s="167">
        <f>IFERROR('tablas evol IO CAT '!J46/'tablas evol IO CAT '!J59-1,"-")</f>
        <v>-2.4233358264771687E-2</v>
      </c>
    </row>
    <row r="47" spans="3:10" hidden="1" outlineLevel="1">
      <c r="C47" s="51" t="s">
        <v>40</v>
      </c>
      <c r="D47" s="167">
        <f>IFERROR('tablas evol IO CAT '!D47/'tablas evol IO CAT '!D60-1,"-")</f>
        <v>0.39029623947211589</v>
      </c>
      <c r="E47" s="167">
        <f>IFERROR('tablas evol IO CAT '!E47/'tablas evol IO CAT '!E60-1,"-")</f>
        <v>9.7116340735830198E-2</v>
      </c>
      <c r="F47" s="167">
        <f>IFERROR('tablas evol IO CAT '!F47/'tablas evol IO CAT '!F60-1,"-")</f>
        <v>-6.2425257115522603E-2</v>
      </c>
      <c r="G47" s="167">
        <f>IFERROR('tablas evol IO CAT '!G47/'tablas evol IO CAT '!G60-1,"-")</f>
        <v>-7.937569676700118E-2</v>
      </c>
      <c r="H47" s="167">
        <f>IFERROR('tablas evol IO CAT '!H47/'tablas evol IO CAT '!H60-1,"-")</f>
        <v>-2.7535860655737543E-2</v>
      </c>
      <c r="I47" s="167">
        <f>IFERROR('tablas evol IO CAT '!I47/'tablas evol IO CAT '!I60-1,"-")</f>
        <v>-0.1067460317460317</v>
      </c>
      <c r="J47" s="167">
        <f>IFERROR('tablas evol IO CAT '!J47/'tablas evol IO CAT '!J60-1,"-")</f>
        <v>-5.7067738942158996E-2</v>
      </c>
    </row>
    <row r="48" spans="3:10" hidden="1" outlineLevel="1">
      <c r="C48" s="51" t="s">
        <v>41</v>
      </c>
      <c r="D48" s="167">
        <f>IFERROR('tablas evol IO CAT '!D48/'tablas evol IO CAT '!D61-1,"-")</f>
        <v>-0.23293166718614799</v>
      </c>
      <c r="E48" s="167">
        <f>IFERROR('tablas evol IO CAT '!E48/'tablas evol IO CAT '!E61-1,"-")</f>
        <v>-1.4320877153725653E-2</v>
      </c>
      <c r="F48" s="167">
        <f>IFERROR('tablas evol IO CAT '!F48/'tablas evol IO CAT '!F61-1,"-")</f>
        <v>-3.2154006243496291E-2</v>
      </c>
      <c r="G48" s="167">
        <f>IFERROR('tablas evol IO CAT '!G48/'tablas evol IO CAT '!G61-1,"-")</f>
        <v>-8.3624409287035184E-2</v>
      </c>
      <c r="H48" s="167">
        <f>IFERROR('tablas evol IO CAT '!H48/'tablas evol IO CAT '!H61-1,"-")</f>
        <v>-3.7324542747766976E-2</v>
      </c>
      <c r="I48" s="167">
        <f>IFERROR('tablas evol IO CAT '!I48/'tablas evol IO CAT '!I61-1,"-")</f>
        <v>-8.7576665240336582E-2</v>
      </c>
      <c r="J48" s="167">
        <f>IFERROR('tablas evol IO CAT '!J48/'tablas evol IO CAT '!J61-1,"-")</f>
        <v>-5.7738961669092537E-2</v>
      </c>
    </row>
    <row r="49" spans="3:10" hidden="1" outlineLevel="1">
      <c r="C49" s="51" t="s">
        <v>42</v>
      </c>
      <c r="D49" s="167">
        <f>IFERROR('tablas evol IO CAT '!D49/'tablas evol IO CAT '!D62-1,"-")</f>
        <v>-0.17624687059729505</v>
      </c>
      <c r="E49" s="167">
        <f>IFERROR('tablas evol IO CAT '!E49/'tablas evol IO CAT '!E62-1,"-")</f>
        <v>-7.1390728476821153E-2</v>
      </c>
      <c r="F49" s="167">
        <f>IFERROR('tablas evol IO CAT '!F49/'tablas evol IO CAT '!F62-1,"-")</f>
        <v>-4.8921503224371721E-3</v>
      </c>
      <c r="G49" s="167">
        <f>IFERROR('tablas evol IO CAT '!G49/'tablas evol IO CAT '!G62-1,"-")</f>
        <v>-0.12593939393939391</v>
      </c>
      <c r="H49" s="167">
        <f>IFERROR('tablas evol IO CAT '!H49/'tablas evol IO CAT '!H62-1,"-")</f>
        <v>-3.5567071016370244E-2</v>
      </c>
      <c r="I49" s="167">
        <f>IFERROR('tablas evol IO CAT '!I49/'tablas evol IO CAT '!I62-1,"-")</f>
        <v>-0.13946837146702551</v>
      </c>
      <c r="J49" s="167">
        <f>IFERROR('tablas evol IO CAT '!J49/'tablas evol IO CAT '!J62-1,"-")</f>
        <v>-7.661568141105124E-2</v>
      </c>
    </row>
    <row r="50" spans="3:10" hidden="1" outlineLevel="1">
      <c r="C50" s="51" t="s">
        <v>43</v>
      </c>
      <c r="D50" s="167">
        <f>IFERROR('tablas evol IO CAT '!D50/'tablas evol IO CAT '!D63-1,"-")</f>
        <v>-0.37133607431388138</v>
      </c>
      <c r="E50" s="167">
        <f>IFERROR('tablas evol IO CAT '!E50/'tablas evol IO CAT '!E63-1,"-")</f>
        <v>-9.9218376136544939E-2</v>
      </c>
      <c r="F50" s="167">
        <f>IFERROR('tablas evol IO CAT '!F50/'tablas evol IO CAT '!F63-1,"-")</f>
        <v>-5.324437467294596E-2</v>
      </c>
      <c r="G50" s="167">
        <f>IFERROR('tablas evol IO CAT '!G50/'tablas evol IO CAT '!G63-1,"-")</f>
        <v>-0.11834811529933476</v>
      </c>
      <c r="H50" s="167">
        <f>IFERROR('tablas evol IO CAT '!H50/'tablas evol IO CAT '!H63-1,"-")</f>
        <v>-7.6529200110711293E-2</v>
      </c>
      <c r="I50" s="167">
        <f>IFERROR('tablas evol IO CAT '!I50/'tablas evol IO CAT '!I63-1,"-")</f>
        <v>-0.11382650814619111</v>
      </c>
      <c r="J50" s="167">
        <f>IFERROR('tablas evol IO CAT '!J50/'tablas evol IO CAT '!J63-1,"-")</f>
        <v>-9.0033783783783905E-2</v>
      </c>
    </row>
    <row r="51" spans="3:10" hidden="1" outlineLevel="1">
      <c r="C51" s="51" t="s">
        <v>44</v>
      </c>
      <c r="D51" s="167">
        <f>IFERROR('tablas evol IO CAT '!D51/'tablas evol IO CAT '!D64-1,"-")</f>
        <v>-0.32121288512050572</v>
      </c>
      <c r="E51" s="167">
        <f>IFERROR('tablas evol IO CAT '!E51/'tablas evol IO CAT '!E64-1,"-")</f>
        <v>-0.23454195130495703</v>
      </c>
      <c r="F51" s="167">
        <f>IFERROR('tablas evol IO CAT '!F51/'tablas evol IO CAT '!F64-1,"-")</f>
        <v>-7.8822000866175745E-2</v>
      </c>
      <c r="G51" s="167">
        <f>IFERROR('tablas evol IO CAT '!G51/'tablas evol IO CAT '!G64-1,"-")</f>
        <v>-9.7640704945991974E-2</v>
      </c>
      <c r="H51" s="167">
        <f>IFERROR('tablas evol IO CAT '!H51/'tablas evol IO CAT '!H64-1,"-")</f>
        <v>-0.11826008155867684</v>
      </c>
      <c r="I51" s="167">
        <f>IFERROR('tablas evol IO CAT '!I51/'tablas evol IO CAT '!I64-1,"-")</f>
        <v>-0.10948191593352896</v>
      </c>
      <c r="J51" s="167">
        <f>IFERROR('tablas evol IO CAT '!J51/'tablas evol IO CAT '!J64-1,"-")</f>
        <v>-0.11447124304267164</v>
      </c>
    </row>
    <row r="52" spans="3:10" hidden="1" outlineLevel="1">
      <c r="C52" s="51" t="s">
        <v>45</v>
      </c>
      <c r="D52" s="167">
        <f>IFERROR('tablas evol IO CAT '!D52/'tablas evol IO CAT '!D65-1,"-")</f>
        <v>-0.45761057969413543</v>
      </c>
      <c r="E52" s="167">
        <f>IFERROR('tablas evol IO CAT '!E52/'tablas evol IO CAT '!E65-1,"-")</f>
        <v>-0.14632807137954695</v>
      </c>
      <c r="F52" s="167">
        <f>IFERROR('tablas evol IO CAT '!F52/'tablas evol IO CAT '!F65-1,"-")</f>
        <v>-5.0619469026548791E-2</v>
      </c>
      <c r="G52" s="167">
        <f>IFERROR('tablas evol IO CAT '!G52/'tablas evol IO CAT '!G65-1,"-")</f>
        <v>-2.7736045302207413E-2</v>
      </c>
      <c r="H52" s="167">
        <f>IFERROR('tablas evol IO CAT '!H52/'tablas evol IO CAT '!H65-1,"-")</f>
        <v>-7.4929715193741586E-2</v>
      </c>
      <c r="I52" s="167">
        <f>IFERROR('tablas evol IO CAT '!I52/'tablas evol IO CAT '!I65-1,"-")</f>
        <v>-9.222261862290404E-2</v>
      </c>
      <c r="J52" s="167">
        <f>IFERROR('tablas evol IO CAT '!J52/'tablas evol IO CAT '!J65-1,"-")</f>
        <v>-8.1408775981524295E-2</v>
      </c>
    </row>
    <row r="53" spans="3:10" hidden="1" outlineLevel="1">
      <c r="C53" s="51" t="s">
        <v>46</v>
      </c>
      <c r="D53" s="167">
        <f>IFERROR('tablas evol IO CAT '!D53/'tablas evol IO CAT '!D66-1,"-")</f>
        <v>2.3438714249737425E-2</v>
      </c>
      <c r="E53" s="167">
        <f>IFERROR('tablas evol IO CAT '!E53/'tablas evol IO CAT '!E66-1,"-")</f>
        <v>-5.4533333333333434E-2</v>
      </c>
      <c r="F53" s="167">
        <f>IFERROR('tablas evol IO CAT '!F53/'tablas evol IO CAT '!F66-1,"-")</f>
        <v>-1.3534416086620205E-2</v>
      </c>
      <c r="G53" s="167">
        <f>IFERROR('tablas evol IO CAT '!G53/'tablas evol IO CAT '!G66-1,"-")</f>
        <v>-9.1439688715953205E-2</v>
      </c>
      <c r="H53" s="167">
        <f>IFERROR('tablas evol IO CAT '!H53/'tablas evol IO CAT '!H66-1,"-")</f>
        <v>-3.2898105478750717E-2</v>
      </c>
      <c r="I53" s="167">
        <f>IFERROR('tablas evol IO CAT '!I53/'tablas evol IO CAT '!I66-1,"-")</f>
        <v>1.7061934823403568E-4</v>
      </c>
      <c r="J53" s="167">
        <f>IFERROR('tablas evol IO CAT '!J53/'tablas evol IO CAT '!J66-1,"-")</f>
        <v>-1.8942153577152787E-2</v>
      </c>
    </row>
    <row r="54" spans="3:10" hidden="1" outlineLevel="1">
      <c r="C54" s="51" t="s">
        <v>47</v>
      </c>
      <c r="D54" s="167">
        <f>IFERROR('tablas evol IO CAT '!D54/'tablas evol IO CAT '!D67-1,"-")</f>
        <v>-9.9633827417461296E-2</v>
      </c>
      <c r="E54" s="167">
        <f>IFERROR('tablas evol IO CAT '!E54/'tablas evol IO CAT '!E67-1,"-")</f>
        <v>-8.0894568690095814E-2</v>
      </c>
      <c r="F54" s="167">
        <f>IFERROR('tablas evol IO CAT '!F54/'tablas evol IO CAT '!F67-1,"-")</f>
        <v>-1.3428943937418558E-2</v>
      </c>
      <c r="G54" s="167">
        <f>IFERROR('tablas evol IO CAT '!G54/'tablas evol IO CAT '!G67-1,"-")</f>
        <v>-2.2267899965741522E-2</v>
      </c>
      <c r="H54" s="167">
        <f>IFERROR('tablas evol IO CAT '!H54/'tablas evol IO CAT '!H67-1,"-")</f>
        <v>-3.0044557606619948E-2</v>
      </c>
      <c r="I54" s="167">
        <f>IFERROR('tablas evol IO CAT '!I54/'tablas evol IO CAT '!I67-1,"-")</f>
        <v>-3.2231540864989361E-2</v>
      </c>
      <c r="J54" s="167">
        <f>IFERROR('tablas evol IO CAT '!J54/'tablas evol IO CAT '!J67-1,"-")</f>
        <v>-3.0749427917620253E-2</v>
      </c>
    </row>
    <row r="55" spans="3:10" hidden="1" outlineLevel="1">
      <c r="C55" s="51" t="s">
        <v>48</v>
      </c>
      <c r="D55" s="167">
        <f>IFERROR('tablas evol IO CAT '!D55/'tablas evol IO CAT '!D68-1,"-")</f>
        <v>-3.8261799526692175E-2</v>
      </c>
      <c r="E55" s="167">
        <f>IFERROR('tablas evol IO CAT '!E55/'tablas evol IO CAT '!E68-1,"-")</f>
        <v>-0.12377560106856644</v>
      </c>
      <c r="F55" s="167">
        <f>IFERROR('tablas evol IO CAT '!F55/'tablas evol IO CAT '!F68-1,"-")</f>
        <v>-3.592447278077493E-2</v>
      </c>
      <c r="G55" s="167">
        <f>IFERROR('tablas evol IO CAT '!G55/'tablas evol IO CAT '!G68-1,"-")</f>
        <v>3.111167320096131E-2</v>
      </c>
      <c r="H55" s="167">
        <f>IFERROR('tablas evol IO CAT '!H55/'tablas evol IO CAT '!H68-1,"-")</f>
        <v>-4.8565395603030859E-2</v>
      </c>
      <c r="I55" s="167">
        <f>IFERROR('tablas evol IO CAT '!I55/'tablas evol IO CAT '!I68-1,"-")</f>
        <v>-4.1126279863481274E-2</v>
      </c>
      <c r="J55" s="167">
        <f>IFERROR('tablas evol IO CAT '!J55/'tablas evol IO CAT '!J68-1,"-")</f>
        <v>-4.5239799570508166E-2</v>
      </c>
    </row>
    <row r="56" spans="3:10" collapsed="1">
      <c r="C56" s="58">
        <v>2007</v>
      </c>
      <c r="D56" s="170">
        <f>IFERROR('tablas evol IO CAT '!D56/'tablas evol IO CAT '!D69-1,"-")</f>
        <v>-7.4319815368304676E-2</v>
      </c>
      <c r="E56" s="170">
        <f>IFERROR('tablas evol IO CAT '!E56/'tablas evol IO CAT '!E69-1,"-")</f>
        <v>-3.8219862179876163E-2</v>
      </c>
      <c r="F56" s="170">
        <f>IFERROR('tablas evol IO CAT '!F56/'tablas evol IO CAT '!F69-1,"-")</f>
        <v>-2.8087158113370925E-2</v>
      </c>
      <c r="G56" s="170">
        <f>IFERROR('tablas evol IO CAT '!G56/'tablas evol IO CAT '!G69-1,"-")</f>
        <v>-5.5872908534656429E-2</v>
      </c>
      <c r="H56" s="170">
        <f>IFERROR('tablas evol IO CAT '!H56/'tablas evol IO CAT '!H69-1,"-")</f>
        <v>-3.4283895177019019E-2</v>
      </c>
      <c r="I56" s="170">
        <f>IFERROR('tablas evol IO CAT '!I56/'tablas evol IO CAT '!I69-1,"-")</f>
        <v>-5.6566521614661247E-2</v>
      </c>
      <c r="J56" s="170">
        <f>IFERROR('tablas evol IO CAT '!J56/'tablas evol IO CAT '!J69-1,"-")</f>
        <v>-4.2822574517340728E-2</v>
      </c>
    </row>
    <row r="57" spans="3:10" ht="15" customHeight="1">
      <c r="C57" s="166" t="s">
        <v>32</v>
      </c>
      <c r="D57" s="166"/>
      <c r="E57" s="166"/>
      <c r="F57" s="166"/>
      <c r="G57" s="166"/>
      <c r="H57" s="166"/>
      <c r="I57" s="166"/>
      <c r="J57" s="166"/>
    </row>
  </sheetData>
  <mergeCells count="2">
    <mergeCell ref="C3:J3"/>
    <mergeCell ref="C57:J5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7:L28"/>
  <sheetViews>
    <sheetView showGridLines="0" showRowColHeaders="0" showOutlineSymbols="0" zoomScaleNormal="100" workbookViewId="0">
      <selection activeCell="B25" sqref="B25"/>
    </sheetView>
  </sheetViews>
  <sheetFormatPr baseColWidth="10" defaultRowHeight="12.75"/>
  <cols>
    <col min="1" max="2" width="11.42578125" style="2"/>
    <col min="3" max="3" width="41" style="2" customWidth="1"/>
    <col min="4" max="4" width="12.7109375" style="2" customWidth="1"/>
    <col min="5" max="5" width="12.85546875" style="2" customWidth="1"/>
    <col min="6" max="6" width="10.5703125" style="2" customWidth="1"/>
    <col min="7" max="7" width="10.7109375" style="2" customWidth="1"/>
    <col min="8" max="13" width="11.42578125" style="2"/>
    <col min="14" max="14" width="13.7109375" style="2" customWidth="1"/>
    <col min="15" max="258" width="11.42578125" style="2"/>
    <col min="259" max="259" width="41" style="2" customWidth="1"/>
    <col min="260" max="260" width="12.7109375" style="2" customWidth="1"/>
    <col min="261" max="261" width="12.85546875" style="2" customWidth="1"/>
    <col min="262" max="262" width="10.5703125" style="2" customWidth="1"/>
    <col min="263" max="263" width="10.7109375" style="2" customWidth="1"/>
    <col min="264" max="269" width="11.42578125" style="2"/>
    <col min="270" max="270" width="13.7109375" style="2" customWidth="1"/>
    <col min="271" max="514" width="11.42578125" style="2"/>
    <col min="515" max="515" width="41" style="2" customWidth="1"/>
    <col min="516" max="516" width="12.7109375" style="2" customWidth="1"/>
    <col min="517" max="517" width="12.85546875" style="2" customWidth="1"/>
    <col min="518" max="518" width="10.5703125" style="2" customWidth="1"/>
    <col min="519" max="519" width="10.7109375" style="2" customWidth="1"/>
    <col min="520" max="525" width="11.42578125" style="2"/>
    <col min="526" max="526" width="13.7109375" style="2" customWidth="1"/>
    <col min="527" max="770" width="11.42578125" style="2"/>
    <col min="771" max="771" width="41" style="2" customWidth="1"/>
    <col min="772" max="772" width="12.7109375" style="2" customWidth="1"/>
    <col min="773" max="773" width="12.85546875" style="2" customWidth="1"/>
    <col min="774" max="774" width="10.5703125" style="2" customWidth="1"/>
    <col min="775" max="775" width="10.7109375" style="2" customWidth="1"/>
    <col min="776" max="781" width="11.42578125" style="2"/>
    <col min="782" max="782" width="13.7109375" style="2" customWidth="1"/>
    <col min="783" max="1026" width="11.42578125" style="2"/>
    <col min="1027" max="1027" width="41" style="2" customWidth="1"/>
    <col min="1028" max="1028" width="12.7109375" style="2" customWidth="1"/>
    <col min="1029" max="1029" width="12.85546875" style="2" customWidth="1"/>
    <col min="1030" max="1030" width="10.5703125" style="2" customWidth="1"/>
    <col min="1031" max="1031" width="10.7109375" style="2" customWidth="1"/>
    <col min="1032" max="1037" width="11.42578125" style="2"/>
    <col min="1038" max="1038" width="13.7109375" style="2" customWidth="1"/>
    <col min="1039" max="1282" width="11.42578125" style="2"/>
    <col min="1283" max="1283" width="41" style="2" customWidth="1"/>
    <col min="1284" max="1284" width="12.7109375" style="2" customWidth="1"/>
    <col min="1285" max="1285" width="12.85546875" style="2" customWidth="1"/>
    <col min="1286" max="1286" width="10.5703125" style="2" customWidth="1"/>
    <col min="1287" max="1287" width="10.7109375" style="2" customWidth="1"/>
    <col min="1288" max="1293" width="11.42578125" style="2"/>
    <col min="1294" max="1294" width="13.7109375" style="2" customWidth="1"/>
    <col min="1295" max="1538" width="11.42578125" style="2"/>
    <col min="1539" max="1539" width="41" style="2" customWidth="1"/>
    <col min="1540" max="1540" width="12.7109375" style="2" customWidth="1"/>
    <col min="1541" max="1541" width="12.85546875" style="2" customWidth="1"/>
    <col min="1542" max="1542" width="10.5703125" style="2" customWidth="1"/>
    <col min="1543" max="1543" width="10.7109375" style="2" customWidth="1"/>
    <col min="1544" max="1549" width="11.42578125" style="2"/>
    <col min="1550" max="1550" width="13.7109375" style="2" customWidth="1"/>
    <col min="1551" max="1794" width="11.42578125" style="2"/>
    <col min="1795" max="1795" width="41" style="2" customWidth="1"/>
    <col min="1796" max="1796" width="12.7109375" style="2" customWidth="1"/>
    <col min="1797" max="1797" width="12.85546875" style="2" customWidth="1"/>
    <col min="1798" max="1798" width="10.5703125" style="2" customWidth="1"/>
    <col min="1799" max="1799" width="10.7109375" style="2" customWidth="1"/>
    <col min="1800" max="1805" width="11.42578125" style="2"/>
    <col min="1806" max="1806" width="13.7109375" style="2" customWidth="1"/>
    <col min="1807" max="2050" width="11.42578125" style="2"/>
    <col min="2051" max="2051" width="41" style="2" customWidth="1"/>
    <col min="2052" max="2052" width="12.7109375" style="2" customWidth="1"/>
    <col min="2053" max="2053" width="12.85546875" style="2" customWidth="1"/>
    <col min="2054" max="2054" width="10.5703125" style="2" customWidth="1"/>
    <col min="2055" max="2055" width="10.7109375" style="2" customWidth="1"/>
    <col min="2056" max="2061" width="11.42578125" style="2"/>
    <col min="2062" max="2062" width="13.7109375" style="2" customWidth="1"/>
    <col min="2063" max="2306" width="11.42578125" style="2"/>
    <col min="2307" max="2307" width="41" style="2" customWidth="1"/>
    <col min="2308" max="2308" width="12.7109375" style="2" customWidth="1"/>
    <col min="2309" max="2309" width="12.85546875" style="2" customWidth="1"/>
    <col min="2310" max="2310" width="10.5703125" style="2" customWidth="1"/>
    <col min="2311" max="2311" width="10.7109375" style="2" customWidth="1"/>
    <col min="2312" max="2317" width="11.42578125" style="2"/>
    <col min="2318" max="2318" width="13.7109375" style="2" customWidth="1"/>
    <col min="2319" max="2562" width="11.42578125" style="2"/>
    <col min="2563" max="2563" width="41" style="2" customWidth="1"/>
    <col min="2564" max="2564" width="12.7109375" style="2" customWidth="1"/>
    <col min="2565" max="2565" width="12.85546875" style="2" customWidth="1"/>
    <col min="2566" max="2566" width="10.5703125" style="2" customWidth="1"/>
    <col min="2567" max="2567" width="10.7109375" style="2" customWidth="1"/>
    <col min="2568" max="2573" width="11.42578125" style="2"/>
    <col min="2574" max="2574" width="13.7109375" style="2" customWidth="1"/>
    <col min="2575" max="2818" width="11.42578125" style="2"/>
    <col min="2819" max="2819" width="41" style="2" customWidth="1"/>
    <col min="2820" max="2820" width="12.7109375" style="2" customWidth="1"/>
    <col min="2821" max="2821" width="12.85546875" style="2" customWidth="1"/>
    <col min="2822" max="2822" width="10.5703125" style="2" customWidth="1"/>
    <col min="2823" max="2823" width="10.7109375" style="2" customWidth="1"/>
    <col min="2824" max="2829" width="11.42578125" style="2"/>
    <col min="2830" max="2830" width="13.7109375" style="2" customWidth="1"/>
    <col min="2831" max="3074" width="11.42578125" style="2"/>
    <col min="3075" max="3075" width="41" style="2" customWidth="1"/>
    <col min="3076" max="3076" width="12.7109375" style="2" customWidth="1"/>
    <col min="3077" max="3077" width="12.85546875" style="2" customWidth="1"/>
    <col min="3078" max="3078" width="10.5703125" style="2" customWidth="1"/>
    <col min="3079" max="3079" width="10.7109375" style="2" customWidth="1"/>
    <col min="3080" max="3085" width="11.42578125" style="2"/>
    <col min="3086" max="3086" width="13.7109375" style="2" customWidth="1"/>
    <col min="3087" max="3330" width="11.42578125" style="2"/>
    <col min="3331" max="3331" width="41" style="2" customWidth="1"/>
    <col min="3332" max="3332" width="12.7109375" style="2" customWidth="1"/>
    <col min="3333" max="3333" width="12.85546875" style="2" customWidth="1"/>
    <col min="3334" max="3334" width="10.5703125" style="2" customWidth="1"/>
    <col min="3335" max="3335" width="10.7109375" style="2" customWidth="1"/>
    <col min="3336" max="3341" width="11.42578125" style="2"/>
    <col min="3342" max="3342" width="13.7109375" style="2" customWidth="1"/>
    <col min="3343" max="3586" width="11.42578125" style="2"/>
    <col min="3587" max="3587" width="41" style="2" customWidth="1"/>
    <col min="3588" max="3588" width="12.7109375" style="2" customWidth="1"/>
    <col min="3589" max="3589" width="12.85546875" style="2" customWidth="1"/>
    <col min="3590" max="3590" width="10.5703125" style="2" customWidth="1"/>
    <col min="3591" max="3591" width="10.7109375" style="2" customWidth="1"/>
    <col min="3592" max="3597" width="11.42578125" style="2"/>
    <col min="3598" max="3598" width="13.7109375" style="2" customWidth="1"/>
    <col min="3599" max="3842" width="11.42578125" style="2"/>
    <col min="3843" max="3843" width="41" style="2" customWidth="1"/>
    <col min="3844" max="3844" width="12.7109375" style="2" customWidth="1"/>
    <col min="3845" max="3845" width="12.85546875" style="2" customWidth="1"/>
    <col min="3846" max="3846" width="10.5703125" style="2" customWidth="1"/>
    <col min="3847" max="3847" width="10.7109375" style="2" customWidth="1"/>
    <col min="3848" max="3853" width="11.42578125" style="2"/>
    <col min="3854" max="3854" width="13.7109375" style="2" customWidth="1"/>
    <col min="3855" max="4098" width="11.42578125" style="2"/>
    <col min="4099" max="4099" width="41" style="2" customWidth="1"/>
    <col min="4100" max="4100" width="12.7109375" style="2" customWidth="1"/>
    <col min="4101" max="4101" width="12.85546875" style="2" customWidth="1"/>
    <col min="4102" max="4102" width="10.5703125" style="2" customWidth="1"/>
    <col min="4103" max="4103" width="10.7109375" style="2" customWidth="1"/>
    <col min="4104" max="4109" width="11.42578125" style="2"/>
    <col min="4110" max="4110" width="13.7109375" style="2" customWidth="1"/>
    <col min="4111" max="4354" width="11.42578125" style="2"/>
    <col min="4355" max="4355" width="41" style="2" customWidth="1"/>
    <col min="4356" max="4356" width="12.7109375" style="2" customWidth="1"/>
    <col min="4357" max="4357" width="12.85546875" style="2" customWidth="1"/>
    <col min="4358" max="4358" width="10.5703125" style="2" customWidth="1"/>
    <col min="4359" max="4359" width="10.7109375" style="2" customWidth="1"/>
    <col min="4360" max="4365" width="11.42578125" style="2"/>
    <col min="4366" max="4366" width="13.7109375" style="2" customWidth="1"/>
    <col min="4367" max="4610" width="11.42578125" style="2"/>
    <col min="4611" max="4611" width="41" style="2" customWidth="1"/>
    <col min="4612" max="4612" width="12.7109375" style="2" customWidth="1"/>
    <col min="4613" max="4613" width="12.85546875" style="2" customWidth="1"/>
    <col min="4614" max="4614" width="10.5703125" style="2" customWidth="1"/>
    <col min="4615" max="4615" width="10.7109375" style="2" customWidth="1"/>
    <col min="4616" max="4621" width="11.42578125" style="2"/>
    <col min="4622" max="4622" width="13.7109375" style="2" customWidth="1"/>
    <col min="4623" max="4866" width="11.42578125" style="2"/>
    <col min="4867" max="4867" width="41" style="2" customWidth="1"/>
    <col min="4868" max="4868" width="12.7109375" style="2" customWidth="1"/>
    <col min="4869" max="4869" width="12.85546875" style="2" customWidth="1"/>
    <col min="4870" max="4870" width="10.5703125" style="2" customWidth="1"/>
    <col min="4871" max="4871" width="10.7109375" style="2" customWidth="1"/>
    <col min="4872" max="4877" width="11.42578125" style="2"/>
    <col min="4878" max="4878" width="13.7109375" style="2" customWidth="1"/>
    <col min="4879" max="5122" width="11.42578125" style="2"/>
    <col min="5123" max="5123" width="41" style="2" customWidth="1"/>
    <col min="5124" max="5124" width="12.7109375" style="2" customWidth="1"/>
    <col min="5125" max="5125" width="12.85546875" style="2" customWidth="1"/>
    <col min="5126" max="5126" width="10.5703125" style="2" customWidth="1"/>
    <col min="5127" max="5127" width="10.7109375" style="2" customWidth="1"/>
    <col min="5128" max="5133" width="11.42578125" style="2"/>
    <col min="5134" max="5134" width="13.7109375" style="2" customWidth="1"/>
    <col min="5135" max="5378" width="11.42578125" style="2"/>
    <col min="5379" max="5379" width="41" style="2" customWidth="1"/>
    <col min="5380" max="5380" width="12.7109375" style="2" customWidth="1"/>
    <col min="5381" max="5381" width="12.85546875" style="2" customWidth="1"/>
    <col min="5382" max="5382" width="10.5703125" style="2" customWidth="1"/>
    <col min="5383" max="5383" width="10.7109375" style="2" customWidth="1"/>
    <col min="5384" max="5389" width="11.42578125" style="2"/>
    <col min="5390" max="5390" width="13.7109375" style="2" customWidth="1"/>
    <col min="5391" max="5634" width="11.42578125" style="2"/>
    <col min="5635" max="5635" width="41" style="2" customWidth="1"/>
    <col min="5636" max="5636" width="12.7109375" style="2" customWidth="1"/>
    <col min="5637" max="5637" width="12.85546875" style="2" customWidth="1"/>
    <col min="5638" max="5638" width="10.5703125" style="2" customWidth="1"/>
    <col min="5639" max="5639" width="10.7109375" style="2" customWidth="1"/>
    <col min="5640" max="5645" width="11.42578125" style="2"/>
    <col min="5646" max="5646" width="13.7109375" style="2" customWidth="1"/>
    <col min="5647" max="5890" width="11.42578125" style="2"/>
    <col min="5891" max="5891" width="41" style="2" customWidth="1"/>
    <col min="5892" max="5892" width="12.7109375" style="2" customWidth="1"/>
    <col min="5893" max="5893" width="12.85546875" style="2" customWidth="1"/>
    <col min="5894" max="5894" width="10.5703125" style="2" customWidth="1"/>
    <col min="5895" max="5895" width="10.7109375" style="2" customWidth="1"/>
    <col min="5896" max="5901" width="11.42578125" style="2"/>
    <col min="5902" max="5902" width="13.7109375" style="2" customWidth="1"/>
    <col min="5903" max="6146" width="11.42578125" style="2"/>
    <col min="6147" max="6147" width="41" style="2" customWidth="1"/>
    <col min="6148" max="6148" width="12.7109375" style="2" customWidth="1"/>
    <col min="6149" max="6149" width="12.85546875" style="2" customWidth="1"/>
    <col min="6150" max="6150" width="10.5703125" style="2" customWidth="1"/>
    <col min="6151" max="6151" width="10.7109375" style="2" customWidth="1"/>
    <col min="6152" max="6157" width="11.42578125" style="2"/>
    <col min="6158" max="6158" width="13.7109375" style="2" customWidth="1"/>
    <col min="6159" max="6402" width="11.42578125" style="2"/>
    <col min="6403" max="6403" width="41" style="2" customWidth="1"/>
    <col min="6404" max="6404" width="12.7109375" style="2" customWidth="1"/>
    <col min="6405" max="6405" width="12.85546875" style="2" customWidth="1"/>
    <col min="6406" max="6406" width="10.5703125" style="2" customWidth="1"/>
    <col min="6407" max="6407" width="10.7109375" style="2" customWidth="1"/>
    <col min="6408" max="6413" width="11.42578125" style="2"/>
    <col min="6414" max="6414" width="13.7109375" style="2" customWidth="1"/>
    <col min="6415" max="6658" width="11.42578125" style="2"/>
    <col min="6659" max="6659" width="41" style="2" customWidth="1"/>
    <col min="6660" max="6660" width="12.7109375" style="2" customWidth="1"/>
    <col min="6661" max="6661" width="12.85546875" style="2" customWidth="1"/>
    <col min="6662" max="6662" width="10.5703125" style="2" customWidth="1"/>
    <col min="6663" max="6663" width="10.7109375" style="2" customWidth="1"/>
    <col min="6664" max="6669" width="11.42578125" style="2"/>
    <col min="6670" max="6670" width="13.7109375" style="2" customWidth="1"/>
    <col min="6671" max="6914" width="11.42578125" style="2"/>
    <col min="6915" max="6915" width="41" style="2" customWidth="1"/>
    <col min="6916" max="6916" width="12.7109375" style="2" customWidth="1"/>
    <col min="6917" max="6917" width="12.85546875" style="2" customWidth="1"/>
    <col min="6918" max="6918" width="10.5703125" style="2" customWidth="1"/>
    <col min="6919" max="6919" width="10.7109375" style="2" customWidth="1"/>
    <col min="6920" max="6925" width="11.42578125" style="2"/>
    <col min="6926" max="6926" width="13.7109375" style="2" customWidth="1"/>
    <col min="6927" max="7170" width="11.42578125" style="2"/>
    <col min="7171" max="7171" width="41" style="2" customWidth="1"/>
    <col min="7172" max="7172" width="12.7109375" style="2" customWidth="1"/>
    <col min="7173" max="7173" width="12.85546875" style="2" customWidth="1"/>
    <col min="7174" max="7174" width="10.5703125" style="2" customWidth="1"/>
    <col min="7175" max="7175" width="10.7109375" style="2" customWidth="1"/>
    <col min="7176" max="7181" width="11.42578125" style="2"/>
    <col min="7182" max="7182" width="13.7109375" style="2" customWidth="1"/>
    <col min="7183" max="7426" width="11.42578125" style="2"/>
    <col min="7427" max="7427" width="41" style="2" customWidth="1"/>
    <col min="7428" max="7428" width="12.7109375" style="2" customWidth="1"/>
    <col min="7429" max="7429" width="12.85546875" style="2" customWidth="1"/>
    <col min="7430" max="7430" width="10.5703125" style="2" customWidth="1"/>
    <col min="7431" max="7431" width="10.7109375" style="2" customWidth="1"/>
    <col min="7432" max="7437" width="11.42578125" style="2"/>
    <col min="7438" max="7438" width="13.7109375" style="2" customWidth="1"/>
    <col min="7439" max="7682" width="11.42578125" style="2"/>
    <col min="7683" max="7683" width="41" style="2" customWidth="1"/>
    <col min="7684" max="7684" width="12.7109375" style="2" customWidth="1"/>
    <col min="7685" max="7685" width="12.85546875" style="2" customWidth="1"/>
    <col min="7686" max="7686" width="10.5703125" style="2" customWidth="1"/>
    <col min="7687" max="7687" width="10.7109375" style="2" customWidth="1"/>
    <col min="7688" max="7693" width="11.42578125" style="2"/>
    <col min="7694" max="7694" width="13.7109375" style="2" customWidth="1"/>
    <col min="7695" max="7938" width="11.42578125" style="2"/>
    <col min="7939" max="7939" width="41" style="2" customWidth="1"/>
    <col min="7940" max="7940" width="12.7109375" style="2" customWidth="1"/>
    <col min="7941" max="7941" width="12.85546875" style="2" customWidth="1"/>
    <col min="7942" max="7942" width="10.5703125" style="2" customWidth="1"/>
    <col min="7943" max="7943" width="10.7109375" style="2" customWidth="1"/>
    <col min="7944" max="7949" width="11.42578125" style="2"/>
    <col min="7950" max="7950" width="13.7109375" style="2" customWidth="1"/>
    <col min="7951" max="8194" width="11.42578125" style="2"/>
    <col min="8195" max="8195" width="41" style="2" customWidth="1"/>
    <col min="8196" max="8196" width="12.7109375" style="2" customWidth="1"/>
    <col min="8197" max="8197" width="12.85546875" style="2" customWidth="1"/>
    <col min="8198" max="8198" width="10.5703125" style="2" customWidth="1"/>
    <col min="8199" max="8199" width="10.7109375" style="2" customWidth="1"/>
    <col min="8200" max="8205" width="11.42578125" style="2"/>
    <col min="8206" max="8206" width="13.7109375" style="2" customWidth="1"/>
    <col min="8207" max="8450" width="11.42578125" style="2"/>
    <col min="8451" max="8451" width="41" style="2" customWidth="1"/>
    <col min="8452" max="8452" width="12.7109375" style="2" customWidth="1"/>
    <col min="8453" max="8453" width="12.85546875" style="2" customWidth="1"/>
    <col min="8454" max="8454" width="10.5703125" style="2" customWidth="1"/>
    <col min="8455" max="8455" width="10.7109375" style="2" customWidth="1"/>
    <col min="8456" max="8461" width="11.42578125" style="2"/>
    <col min="8462" max="8462" width="13.7109375" style="2" customWidth="1"/>
    <col min="8463" max="8706" width="11.42578125" style="2"/>
    <col min="8707" max="8707" width="41" style="2" customWidth="1"/>
    <col min="8708" max="8708" width="12.7109375" style="2" customWidth="1"/>
    <col min="8709" max="8709" width="12.85546875" style="2" customWidth="1"/>
    <col min="8710" max="8710" width="10.5703125" style="2" customWidth="1"/>
    <col min="8711" max="8711" width="10.7109375" style="2" customWidth="1"/>
    <col min="8712" max="8717" width="11.42578125" style="2"/>
    <col min="8718" max="8718" width="13.7109375" style="2" customWidth="1"/>
    <col min="8719" max="8962" width="11.42578125" style="2"/>
    <col min="8963" max="8963" width="41" style="2" customWidth="1"/>
    <col min="8964" max="8964" width="12.7109375" style="2" customWidth="1"/>
    <col min="8965" max="8965" width="12.85546875" style="2" customWidth="1"/>
    <col min="8966" max="8966" width="10.5703125" style="2" customWidth="1"/>
    <col min="8967" max="8967" width="10.7109375" style="2" customWidth="1"/>
    <col min="8968" max="8973" width="11.42578125" style="2"/>
    <col min="8974" max="8974" width="13.7109375" style="2" customWidth="1"/>
    <col min="8975" max="9218" width="11.42578125" style="2"/>
    <col min="9219" max="9219" width="41" style="2" customWidth="1"/>
    <col min="9220" max="9220" width="12.7109375" style="2" customWidth="1"/>
    <col min="9221" max="9221" width="12.85546875" style="2" customWidth="1"/>
    <col min="9222" max="9222" width="10.5703125" style="2" customWidth="1"/>
    <col min="9223" max="9223" width="10.7109375" style="2" customWidth="1"/>
    <col min="9224" max="9229" width="11.42578125" style="2"/>
    <col min="9230" max="9230" width="13.7109375" style="2" customWidth="1"/>
    <col min="9231" max="9474" width="11.42578125" style="2"/>
    <col min="9475" max="9475" width="41" style="2" customWidth="1"/>
    <col min="9476" max="9476" width="12.7109375" style="2" customWidth="1"/>
    <col min="9477" max="9477" width="12.85546875" style="2" customWidth="1"/>
    <col min="9478" max="9478" width="10.5703125" style="2" customWidth="1"/>
    <col min="9479" max="9479" width="10.7109375" style="2" customWidth="1"/>
    <col min="9480" max="9485" width="11.42578125" style="2"/>
    <col min="9486" max="9486" width="13.7109375" style="2" customWidth="1"/>
    <col min="9487" max="9730" width="11.42578125" style="2"/>
    <col min="9731" max="9731" width="41" style="2" customWidth="1"/>
    <col min="9732" max="9732" width="12.7109375" style="2" customWidth="1"/>
    <col min="9733" max="9733" width="12.85546875" style="2" customWidth="1"/>
    <col min="9734" max="9734" width="10.5703125" style="2" customWidth="1"/>
    <col min="9735" max="9735" width="10.7109375" style="2" customWidth="1"/>
    <col min="9736" max="9741" width="11.42578125" style="2"/>
    <col min="9742" max="9742" width="13.7109375" style="2" customWidth="1"/>
    <col min="9743" max="9986" width="11.42578125" style="2"/>
    <col min="9987" max="9987" width="41" style="2" customWidth="1"/>
    <col min="9988" max="9988" width="12.7109375" style="2" customWidth="1"/>
    <col min="9989" max="9989" width="12.85546875" style="2" customWidth="1"/>
    <col min="9990" max="9990" width="10.5703125" style="2" customWidth="1"/>
    <col min="9991" max="9991" width="10.7109375" style="2" customWidth="1"/>
    <col min="9992" max="9997" width="11.42578125" style="2"/>
    <col min="9998" max="9998" width="13.7109375" style="2" customWidth="1"/>
    <col min="9999" max="10242" width="11.42578125" style="2"/>
    <col min="10243" max="10243" width="41" style="2" customWidth="1"/>
    <col min="10244" max="10244" width="12.7109375" style="2" customWidth="1"/>
    <col min="10245" max="10245" width="12.85546875" style="2" customWidth="1"/>
    <col min="10246" max="10246" width="10.5703125" style="2" customWidth="1"/>
    <col min="10247" max="10247" width="10.7109375" style="2" customWidth="1"/>
    <col min="10248" max="10253" width="11.42578125" style="2"/>
    <col min="10254" max="10254" width="13.7109375" style="2" customWidth="1"/>
    <col min="10255" max="10498" width="11.42578125" style="2"/>
    <col min="10499" max="10499" width="41" style="2" customWidth="1"/>
    <col min="10500" max="10500" width="12.7109375" style="2" customWidth="1"/>
    <col min="10501" max="10501" width="12.85546875" style="2" customWidth="1"/>
    <col min="10502" max="10502" width="10.5703125" style="2" customWidth="1"/>
    <col min="10503" max="10503" width="10.7109375" style="2" customWidth="1"/>
    <col min="10504" max="10509" width="11.42578125" style="2"/>
    <col min="10510" max="10510" width="13.7109375" style="2" customWidth="1"/>
    <col min="10511" max="10754" width="11.42578125" style="2"/>
    <col min="10755" max="10755" width="41" style="2" customWidth="1"/>
    <col min="10756" max="10756" width="12.7109375" style="2" customWidth="1"/>
    <col min="10757" max="10757" width="12.85546875" style="2" customWidth="1"/>
    <col min="10758" max="10758" width="10.5703125" style="2" customWidth="1"/>
    <col min="10759" max="10759" width="10.7109375" style="2" customWidth="1"/>
    <col min="10760" max="10765" width="11.42578125" style="2"/>
    <col min="10766" max="10766" width="13.7109375" style="2" customWidth="1"/>
    <col min="10767" max="11010" width="11.42578125" style="2"/>
    <col min="11011" max="11011" width="41" style="2" customWidth="1"/>
    <col min="11012" max="11012" width="12.7109375" style="2" customWidth="1"/>
    <col min="11013" max="11013" width="12.85546875" style="2" customWidth="1"/>
    <col min="11014" max="11014" width="10.5703125" style="2" customWidth="1"/>
    <col min="11015" max="11015" width="10.7109375" style="2" customWidth="1"/>
    <col min="11016" max="11021" width="11.42578125" style="2"/>
    <col min="11022" max="11022" width="13.7109375" style="2" customWidth="1"/>
    <col min="11023" max="11266" width="11.42578125" style="2"/>
    <col min="11267" max="11267" width="41" style="2" customWidth="1"/>
    <col min="11268" max="11268" width="12.7109375" style="2" customWidth="1"/>
    <col min="11269" max="11269" width="12.85546875" style="2" customWidth="1"/>
    <col min="11270" max="11270" width="10.5703125" style="2" customWidth="1"/>
    <col min="11271" max="11271" width="10.7109375" style="2" customWidth="1"/>
    <col min="11272" max="11277" width="11.42578125" style="2"/>
    <col min="11278" max="11278" width="13.7109375" style="2" customWidth="1"/>
    <col min="11279" max="11522" width="11.42578125" style="2"/>
    <col min="11523" max="11523" width="41" style="2" customWidth="1"/>
    <col min="11524" max="11524" width="12.7109375" style="2" customWidth="1"/>
    <col min="11525" max="11525" width="12.85546875" style="2" customWidth="1"/>
    <col min="11526" max="11526" width="10.5703125" style="2" customWidth="1"/>
    <col min="11527" max="11527" width="10.7109375" style="2" customWidth="1"/>
    <col min="11528" max="11533" width="11.42578125" style="2"/>
    <col min="11534" max="11534" width="13.7109375" style="2" customWidth="1"/>
    <col min="11535" max="11778" width="11.42578125" style="2"/>
    <col min="11779" max="11779" width="41" style="2" customWidth="1"/>
    <col min="11780" max="11780" width="12.7109375" style="2" customWidth="1"/>
    <col min="11781" max="11781" width="12.85546875" style="2" customWidth="1"/>
    <col min="11782" max="11782" width="10.5703125" style="2" customWidth="1"/>
    <col min="11783" max="11783" width="10.7109375" style="2" customWidth="1"/>
    <col min="11784" max="11789" width="11.42578125" style="2"/>
    <col min="11790" max="11790" width="13.7109375" style="2" customWidth="1"/>
    <col min="11791" max="12034" width="11.42578125" style="2"/>
    <col min="12035" max="12035" width="41" style="2" customWidth="1"/>
    <col min="12036" max="12036" width="12.7109375" style="2" customWidth="1"/>
    <col min="12037" max="12037" width="12.85546875" style="2" customWidth="1"/>
    <col min="12038" max="12038" width="10.5703125" style="2" customWidth="1"/>
    <col min="12039" max="12039" width="10.7109375" style="2" customWidth="1"/>
    <col min="12040" max="12045" width="11.42578125" style="2"/>
    <col min="12046" max="12046" width="13.7109375" style="2" customWidth="1"/>
    <col min="12047" max="12290" width="11.42578125" style="2"/>
    <col min="12291" max="12291" width="41" style="2" customWidth="1"/>
    <col min="12292" max="12292" width="12.7109375" style="2" customWidth="1"/>
    <col min="12293" max="12293" width="12.85546875" style="2" customWidth="1"/>
    <col min="12294" max="12294" width="10.5703125" style="2" customWidth="1"/>
    <col min="12295" max="12295" width="10.7109375" style="2" customWidth="1"/>
    <col min="12296" max="12301" width="11.42578125" style="2"/>
    <col min="12302" max="12302" width="13.7109375" style="2" customWidth="1"/>
    <col min="12303" max="12546" width="11.42578125" style="2"/>
    <col min="12547" max="12547" width="41" style="2" customWidth="1"/>
    <col min="12548" max="12548" width="12.7109375" style="2" customWidth="1"/>
    <col min="12549" max="12549" width="12.85546875" style="2" customWidth="1"/>
    <col min="12550" max="12550" width="10.5703125" style="2" customWidth="1"/>
    <col min="12551" max="12551" width="10.7109375" style="2" customWidth="1"/>
    <col min="12552" max="12557" width="11.42578125" style="2"/>
    <col min="12558" max="12558" width="13.7109375" style="2" customWidth="1"/>
    <col min="12559" max="12802" width="11.42578125" style="2"/>
    <col min="12803" max="12803" width="41" style="2" customWidth="1"/>
    <col min="12804" max="12804" width="12.7109375" style="2" customWidth="1"/>
    <col min="12805" max="12805" width="12.85546875" style="2" customWidth="1"/>
    <col min="12806" max="12806" width="10.5703125" style="2" customWidth="1"/>
    <col min="12807" max="12807" width="10.7109375" style="2" customWidth="1"/>
    <col min="12808" max="12813" width="11.42578125" style="2"/>
    <col min="12814" max="12814" width="13.7109375" style="2" customWidth="1"/>
    <col min="12815" max="13058" width="11.42578125" style="2"/>
    <col min="13059" max="13059" width="41" style="2" customWidth="1"/>
    <col min="13060" max="13060" width="12.7109375" style="2" customWidth="1"/>
    <col min="13061" max="13061" width="12.85546875" style="2" customWidth="1"/>
    <col min="13062" max="13062" width="10.5703125" style="2" customWidth="1"/>
    <col min="13063" max="13063" width="10.7109375" style="2" customWidth="1"/>
    <col min="13064" max="13069" width="11.42578125" style="2"/>
    <col min="13070" max="13070" width="13.7109375" style="2" customWidth="1"/>
    <col min="13071" max="13314" width="11.42578125" style="2"/>
    <col min="13315" max="13315" width="41" style="2" customWidth="1"/>
    <col min="13316" max="13316" width="12.7109375" style="2" customWidth="1"/>
    <col min="13317" max="13317" width="12.85546875" style="2" customWidth="1"/>
    <col min="13318" max="13318" width="10.5703125" style="2" customWidth="1"/>
    <col min="13319" max="13319" width="10.7109375" style="2" customWidth="1"/>
    <col min="13320" max="13325" width="11.42578125" style="2"/>
    <col min="13326" max="13326" width="13.7109375" style="2" customWidth="1"/>
    <col min="13327" max="13570" width="11.42578125" style="2"/>
    <col min="13571" max="13571" width="41" style="2" customWidth="1"/>
    <col min="13572" max="13572" width="12.7109375" style="2" customWidth="1"/>
    <col min="13573" max="13573" width="12.85546875" style="2" customWidth="1"/>
    <col min="13574" max="13574" width="10.5703125" style="2" customWidth="1"/>
    <col min="13575" max="13575" width="10.7109375" style="2" customWidth="1"/>
    <col min="13576" max="13581" width="11.42578125" style="2"/>
    <col min="13582" max="13582" width="13.7109375" style="2" customWidth="1"/>
    <col min="13583" max="13826" width="11.42578125" style="2"/>
    <col min="13827" max="13827" width="41" style="2" customWidth="1"/>
    <col min="13828" max="13828" width="12.7109375" style="2" customWidth="1"/>
    <col min="13829" max="13829" width="12.85546875" style="2" customWidth="1"/>
    <col min="13830" max="13830" width="10.5703125" style="2" customWidth="1"/>
    <col min="13831" max="13831" width="10.7109375" style="2" customWidth="1"/>
    <col min="13832" max="13837" width="11.42578125" style="2"/>
    <col min="13838" max="13838" width="13.7109375" style="2" customWidth="1"/>
    <col min="13839" max="14082" width="11.42578125" style="2"/>
    <col min="14083" max="14083" width="41" style="2" customWidth="1"/>
    <col min="14084" max="14084" width="12.7109375" style="2" customWidth="1"/>
    <col min="14085" max="14085" width="12.85546875" style="2" customWidth="1"/>
    <col min="14086" max="14086" width="10.5703125" style="2" customWidth="1"/>
    <col min="14087" max="14087" width="10.7109375" style="2" customWidth="1"/>
    <col min="14088" max="14093" width="11.42578125" style="2"/>
    <col min="14094" max="14094" width="13.7109375" style="2" customWidth="1"/>
    <col min="14095" max="14338" width="11.42578125" style="2"/>
    <col min="14339" max="14339" width="41" style="2" customWidth="1"/>
    <col min="14340" max="14340" width="12.7109375" style="2" customWidth="1"/>
    <col min="14341" max="14341" width="12.85546875" style="2" customWidth="1"/>
    <col min="14342" max="14342" width="10.5703125" style="2" customWidth="1"/>
    <col min="14343" max="14343" width="10.7109375" style="2" customWidth="1"/>
    <col min="14344" max="14349" width="11.42578125" style="2"/>
    <col min="14350" max="14350" width="13.7109375" style="2" customWidth="1"/>
    <col min="14351" max="14594" width="11.42578125" style="2"/>
    <col min="14595" max="14595" width="41" style="2" customWidth="1"/>
    <col min="14596" max="14596" width="12.7109375" style="2" customWidth="1"/>
    <col min="14597" max="14597" width="12.85546875" style="2" customWidth="1"/>
    <col min="14598" max="14598" width="10.5703125" style="2" customWidth="1"/>
    <col min="14599" max="14599" width="10.7109375" style="2" customWidth="1"/>
    <col min="14600" max="14605" width="11.42578125" style="2"/>
    <col min="14606" max="14606" width="13.7109375" style="2" customWidth="1"/>
    <col min="14607" max="14850" width="11.42578125" style="2"/>
    <col min="14851" max="14851" width="41" style="2" customWidth="1"/>
    <col min="14852" max="14852" width="12.7109375" style="2" customWidth="1"/>
    <col min="14853" max="14853" width="12.85546875" style="2" customWidth="1"/>
    <col min="14854" max="14854" width="10.5703125" style="2" customWidth="1"/>
    <col min="14855" max="14855" width="10.7109375" style="2" customWidth="1"/>
    <col min="14856" max="14861" width="11.42578125" style="2"/>
    <col min="14862" max="14862" width="13.7109375" style="2" customWidth="1"/>
    <col min="14863" max="15106" width="11.42578125" style="2"/>
    <col min="15107" max="15107" width="41" style="2" customWidth="1"/>
    <col min="15108" max="15108" width="12.7109375" style="2" customWidth="1"/>
    <col min="15109" max="15109" width="12.85546875" style="2" customWidth="1"/>
    <col min="15110" max="15110" width="10.5703125" style="2" customWidth="1"/>
    <col min="15111" max="15111" width="10.7109375" style="2" customWidth="1"/>
    <col min="15112" max="15117" width="11.42578125" style="2"/>
    <col min="15118" max="15118" width="13.7109375" style="2" customWidth="1"/>
    <col min="15119" max="15362" width="11.42578125" style="2"/>
    <col min="15363" max="15363" width="41" style="2" customWidth="1"/>
    <col min="15364" max="15364" width="12.7109375" style="2" customWidth="1"/>
    <col min="15365" max="15365" width="12.85546875" style="2" customWidth="1"/>
    <col min="15366" max="15366" width="10.5703125" style="2" customWidth="1"/>
    <col min="15367" max="15367" width="10.7109375" style="2" customWidth="1"/>
    <col min="15368" max="15373" width="11.42578125" style="2"/>
    <col min="15374" max="15374" width="13.7109375" style="2" customWidth="1"/>
    <col min="15375" max="15618" width="11.42578125" style="2"/>
    <col min="15619" max="15619" width="41" style="2" customWidth="1"/>
    <col min="15620" max="15620" width="12.7109375" style="2" customWidth="1"/>
    <col min="15621" max="15621" width="12.85546875" style="2" customWidth="1"/>
    <col min="15622" max="15622" width="10.5703125" style="2" customWidth="1"/>
    <col min="15623" max="15623" width="10.7109375" style="2" customWidth="1"/>
    <col min="15624" max="15629" width="11.42578125" style="2"/>
    <col min="15630" max="15630" width="13.7109375" style="2" customWidth="1"/>
    <col min="15631" max="15874" width="11.42578125" style="2"/>
    <col min="15875" max="15875" width="41" style="2" customWidth="1"/>
    <col min="15876" max="15876" width="12.7109375" style="2" customWidth="1"/>
    <col min="15877" max="15877" width="12.85546875" style="2" customWidth="1"/>
    <col min="15878" max="15878" width="10.5703125" style="2" customWidth="1"/>
    <col min="15879" max="15879" width="10.7109375" style="2" customWidth="1"/>
    <col min="15880" max="15885" width="11.42578125" style="2"/>
    <col min="15886" max="15886" width="13.7109375" style="2" customWidth="1"/>
    <col min="15887" max="16130" width="11.42578125" style="2"/>
    <col min="16131" max="16131" width="41" style="2" customWidth="1"/>
    <col min="16132" max="16132" width="12.7109375" style="2" customWidth="1"/>
    <col min="16133" max="16133" width="12.85546875" style="2" customWidth="1"/>
    <col min="16134" max="16134" width="10.5703125" style="2" customWidth="1"/>
    <col min="16135" max="16135" width="10.7109375" style="2" customWidth="1"/>
    <col min="16136" max="16141" width="11.42578125" style="2"/>
    <col min="16142" max="16142" width="13.7109375" style="2" customWidth="1"/>
    <col min="16143" max="16384" width="11.42578125" style="2"/>
  </cols>
  <sheetData>
    <row r="7" spans="3:7" ht="25.5" customHeight="1">
      <c r="C7" s="246" t="s">
        <v>261</v>
      </c>
      <c r="D7" s="247"/>
      <c r="E7" s="247"/>
      <c r="F7" s="248"/>
    </row>
    <row r="8" spans="3:7" ht="37.5" customHeight="1">
      <c r="C8" s="30" t="s">
        <v>26</v>
      </c>
      <c r="D8" s="31" t="str">
        <f>actualizaciones!A3</f>
        <v>acumulado julio 2009</v>
      </c>
      <c r="E8" s="31" t="str">
        <f>actualizaciones!A2</f>
        <v xml:space="preserve">acumulado julio 2010 </v>
      </c>
      <c r="F8" s="347" t="s">
        <v>262</v>
      </c>
    </row>
    <row r="9" spans="3:7">
      <c r="C9" s="33" t="s">
        <v>263</v>
      </c>
      <c r="D9" s="348">
        <f>'[1]tabla dinámica municipios'!$K$311*100</f>
        <v>55.615451674608849</v>
      </c>
      <c r="E9" s="348">
        <f>'[1]tabla dinámica municipios'!$U$311*100</f>
        <v>57.336689255463426</v>
      </c>
      <c r="F9" s="36">
        <f>E9/D9-1</f>
        <v>3.0948909503155209E-2</v>
      </c>
      <c r="G9" s="349"/>
    </row>
    <row r="10" spans="3:7">
      <c r="C10" s="37" t="s">
        <v>264</v>
      </c>
      <c r="D10" s="350">
        <f>'[1]tabla dinámica municipios'!$J$311*100</f>
        <v>66.215013478371304</v>
      </c>
      <c r="E10" s="350">
        <f>'[1]tabla dinámica municipios'!$T$311*100</f>
        <v>69.815886269859277</v>
      </c>
      <c r="F10" s="40">
        <f>E10/D10-1</f>
        <v>5.4381515646208856E-2</v>
      </c>
      <c r="G10" s="349"/>
    </row>
    <row r="11" spans="3:7">
      <c r="C11" s="337" t="s">
        <v>265</v>
      </c>
      <c r="D11" s="351">
        <f>'[1]tabla dinámica municipios'!$I$311*100</f>
        <v>44.204648752749911</v>
      </c>
      <c r="E11" s="351">
        <f>'[1]tabla dinámica municipios'!$S$311*100</f>
        <v>43.885093047549042</v>
      </c>
      <c r="F11" s="332">
        <f>E11/D11-1</f>
        <v>-7.2290067723022045E-3</v>
      </c>
      <c r="G11" s="349"/>
    </row>
    <row r="12" spans="3:7">
      <c r="C12" s="42" t="s">
        <v>32</v>
      </c>
      <c r="D12" s="43"/>
      <c r="E12" s="43"/>
      <c r="F12" s="352"/>
    </row>
    <row r="28" spans="2:12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</sheetData>
  <mergeCells count="1">
    <mergeCell ref="C7:F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6:L22"/>
  <sheetViews>
    <sheetView showGridLines="0" showRowColHeaders="0" showOutlineSymbols="0" zoomScaleNormal="100" workbookViewId="0">
      <selection activeCell="B25" sqref="B25"/>
    </sheetView>
  </sheetViews>
  <sheetFormatPr baseColWidth="10" defaultRowHeight="12.75"/>
  <cols>
    <col min="1" max="1" width="13.28515625" style="353" customWidth="1"/>
    <col min="2" max="2" width="30.85546875" style="353" customWidth="1"/>
    <col min="3" max="5" width="12.7109375" style="353" customWidth="1"/>
    <col min="6" max="6" width="10.7109375" style="353" customWidth="1"/>
    <col min="7" max="12" width="11.42578125" style="353"/>
    <col min="13" max="13" width="13.7109375" style="353" customWidth="1"/>
    <col min="14" max="256" width="11.42578125" style="353"/>
    <col min="257" max="257" width="13.28515625" style="353" customWidth="1"/>
    <col min="258" max="258" width="30.85546875" style="353" customWidth="1"/>
    <col min="259" max="261" width="12.7109375" style="353" customWidth="1"/>
    <col min="262" max="262" width="10.7109375" style="353" customWidth="1"/>
    <col min="263" max="268" width="11.42578125" style="353"/>
    <col min="269" max="269" width="13.7109375" style="353" customWidth="1"/>
    <col min="270" max="512" width="11.42578125" style="353"/>
    <col min="513" max="513" width="13.28515625" style="353" customWidth="1"/>
    <col min="514" max="514" width="30.85546875" style="353" customWidth="1"/>
    <col min="515" max="517" width="12.7109375" style="353" customWidth="1"/>
    <col min="518" max="518" width="10.7109375" style="353" customWidth="1"/>
    <col min="519" max="524" width="11.42578125" style="353"/>
    <col min="525" max="525" width="13.7109375" style="353" customWidth="1"/>
    <col min="526" max="768" width="11.42578125" style="353"/>
    <col min="769" max="769" width="13.28515625" style="353" customWidth="1"/>
    <col min="770" max="770" width="30.85546875" style="353" customWidth="1"/>
    <col min="771" max="773" width="12.7109375" style="353" customWidth="1"/>
    <col min="774" max="774" width="10.7109375" style="353" customWidth="1"/>
    <col min="775" max="780" width="11.42578125" style="353"/>
    <col min="781" max="781" width="13.7109375" style="353" customWidth="1"/>
    <col min="782" max="1024" width="11.42578125" style="353"/>
    <col min="1025" max="1025" width="13.28515625" style="353" customWidth="1"/>
    <col min="1026" max="1026" width="30.85546875" style="353" customWidth="1"/>
    <col min="1027" max="1029" width="12.7109375" style="353" customWidth="1"/>
    <col min="1030" max="1030" width="10.7109375" style="353" customWidth="1"/>
    <col min="1031" max="1036" width="11.42578125" style="353"/>
    <col min="1037" max="1037" width="13.7109375" style="353" customWidth="1"/>
    <col min="1038" max="1280" width="11.42578125" style="353"/>
    <col min="1281" max="1281" width="13.28515625" style="353" customWidth="1"/>
    <col min="1282" max="1282" width="30.85546875" style="353" customWidth="1"/>
    <col min="1283" max="1285" width="12.7109375" style="353" customWidth="1"/>
    <col min="1286" max="1286" width="10.7109375" style="353" customWidth="1"/>
    <col min="1287" max="1292" width="11.42578125" style="353"/>
    <col min="1293" max="1293" width="13.7109375" style="353" customWidth="1"/>
    <col min="1294" max="1536" width="11.42578125" style="353"/>
    <col min="1537" max="1537" width="13.28515625" style="353" customWidth="1"/>
    <col min="1538" max="1538" width="30.85546875" style="353" customWidth="1"/>
    <col min="1539" max="1541" width="12.7109375" style="353" customWidth="1"/>
    <col min="1542" max="1542" width="10.7109375" style="353" customWidth="1"/>
    <col min="1543" max="1548" width="11.42578125" style="353"/>
    <col min="1549" max="1549" width="13.7109375" style="353" customWidth="1"/>
    <col min="1550" max="1792" width="11.42578125" style="353"/>
    <col min="1793" max="1793" width="13.28515625" style="353" customWidth="1"/>
    <col min="1794" max="1794" width="30.85546875" style="353" customWidth="1"/>
    <col min="1795" max="1797" width="12.7109375" style="353" customWidth="1"/>
    <col min="1798" max="1798" width="10.7109375" style="353" customWidth="1"/>
    <col min="1799" max="1804" width="11.42578125" style="353"/>
    <col min="1805" max="1805" width="13.7109375" style="353" customWidth="1"/>
    <col min="1806" max="2048" width="11.42578125" style="353"/>
    <col min="2049" max="2049" width="13.28515625" style="353" customWidth="1"/>
    <col min="2050" max="2050" width="30.85546875" style="353" customWidth="1"/>
    <col min="2051" max="2053" width="12.7109375" style="353" customWidth="1"/>
    <col min="2054" max="2054" width="10.7109375" style="353" customWidth="1"/>
    <col min="2055" max="2060" width="11.42578125" style="353"/>
    <col min="2061" max="2061" width="13.7109375" style="353" customWidth="1"/>
    <col min="2062" max="2304" width="11.42578125" style="353"/>
    <col min="2305" max="2305" width="13.28515625" style="353" customWidth="1"/>
    <col min="2306" max="2306" width="30.85546875" style="353" customWidth="1"/>
    <col min="2307" max="2309" width="12.7109375" style="353" customWidth="1"/>
    <col min="2310" max="2310" width="10.7109375" style="353" customWidth="1"/>
    <col min="2311" max="2316" width="11.42578125" style="353"/>
    <col min="2317" max="2317" width="13.7109375" style="353" customWidth="1"/>
    <col min="2318" max="2560" width="11.42578125" style="353"/>
    <col min="2561" max="2561" width="13.28515625" style="353" customWidth="1"/>
    <col min="2562" max="2562" width="30.85546875" style="353" customWidth="1"/>
    <col min="2563" max="2565" width="12.7109375" style="353" customWidth="1"/>
    <col min="2566" max="2566" width="10.7109375" style="353" customWidth="1"/>
    <col min="2567" max="2572" width="11.42578125" style="353"/>
    <col min="2573" max="2573" width="13.7109375" style="353" customWidth="1"/>
    <col min="2574" max="2816" width="11.42578125" style="353"/>
    <col min="2817" max="2817" width="13.28515625" style="353" customWidth="1"/>
    <col min="2818" max="2818" width="30.85546875" style="353" customWidth="1"/>
    <col min="2819" max="2821" width="12.7109375" style="353" customWidth="1"/>
    <col min="2822" max="2822" width="10.7109375" style="353" customWidth="1"/>
    <col min="2823" max="2828" width="11.42578125" style="353"/>
    <col min="2829" max="2829" width="13.7109375" style="353" customWidth="1"/>
    <col min="2830" max="3072" width="11.42578125" style="353"/>
    <col min="3073" max="3073" width="13.28515625" style="353" customWidth="1"/>
    <col min="3074" max="3074" width="30.85546875" style="353" customWidth="1"/>
    <col min="3075" max="3077" width="12.7109375" style="353" customWidth="1"/>
    <col min="3078" max="3078" width="10.7109375" style="353" customWidth="1"/>
    <col min="3079" max="3084" width="11.42578125" style="353"/>
    <col min="3085" max="3085" width="13.7109375" style="353" customWidth="1"/>
    <col min="3086" max="3328" width="11.42578125" style="353"/>
    <col min="3329" max="3329" width="13.28515625" style="353" customWidth="1"/>
    <col min="3330" max="3330" width="30.85546875" style="353" customWidth="1"/>
    <col min="3331" max="3333" width="12.7109375" style="353" customWidth="1"/>
    <col min="3334" max="3334" width="10.7109375" style="353" customWidth="1"/>
    <col min="3335" max="3340" width="11.42578125" style="353"/>
    <col min="3341" max="3341" width="13.7109375" style="353" customWidth="1"/>
    <col min="3342" max="3584" width="11.42578125" style="353"/>
    <col min="3585" max="3585" width="13.28515625" style="353" customWidth="1"/>
    <col min="3586" max="3586" width="30.85546875" style="353" customWidth="1"/>
    <col min="3587" max="3589" width="12.7109375" style="353" customWidth="1"/>
    <col min="3590" max="3590" width="10.7109375" style="353" customWidth="1"/>
    <col min="3591" max="3596" width="11.42578125" style="353"/>
    <col min="3597" max="3597" width="13.7109375" style="353" customWidth="1"/>
    <col min="3598" max="3840" width="11.42578125" style="353"/>
    <col min="3841" max="3841" width="13.28515625" style="353" customWidth="1"/>
    <col min="3842" max="3842" width="30.85546875" style="353" customWidth="1"/>
    <col min="3843" max="3845" width="12.7109375" style="353" customWidth="1"/>
    <col min="3846" max="3846" width="10.7109375" style="353" customWidth="1"/>
    <col min="3847" max="3852" width="11.42578125" style="353"/>
    <col min="3853" max="3853" width="13.7109375" style="353" customWidth="1"/>
    <col min="3854" max="4096" width="11.42578125" style="353"/>
    <col min="4097" max="4097" width="13.28515625" style="353" customWidth="1"/>
    <col min="4098" max="4098" width="30.85546875" style="353" customWidth="1"/>
    <col min="4099" max="4101" width="12.7109375" style="353" customWidth="1"/>
    <col min="4102" max="4102" width="10.7109375" style="353" customWidth="1"/>
    <col min="4103" max="4108" width="11.42578125" style="353"/>
    <col min="4109" max="4109" width="13.7109375" style="353" customWidth="1"/>
    <col min="4110" max="4352" width="11.42578125" style="353"/>
    <col min="4353" max="4353" width="13.28515625" style="353" customWidth="1"/>
    <col min="4354" max="4354" width="30.85546875" style="353" customWidth="1"/>
    <col min="4355" max="4357" width="12.7109375" style="353" customWidth="1"/>
    <col min="4358" max="4358" width="10.7109375" style="353" customWidth="1"/>
    <col min="4359" max="4364" width="11.42578125" style="353"/>
    <col min="4365" max="4365" width="13.7109375" style="353" customWidth="1"/>
    <col min="4366" max="4608" width="11.42578125" style="353"/>
    <col min="4609" max="4609" width="13.28515625" style="353" customWidth="1"/>
    <col min="4610" max="4610" width="30.85546875" style="353" customWidth="1"/>
    <col min="4611" max="4613" width="12.7109375" style="353" customWidth="1"/>
    <col min="4614" max="4614" width="10.7109375" style="353" customWidth="1"/>
    <col min="4615" max="4620" width="11.42578125" style="353"/>
    <col min="4621" max="4621" width="13.7109375" style="353" customWidth="1"/>
    <col min="4622" max="4864" width="11.42578125" style="353"/>
    <col min="4865" max="4865" width="13.28515625" style="353" customWidth="1"/>
    <col min="4866" max="4866" width="30.85546875" style="353" customWidth="1"/>
    <col min="4867" max="4869" width="12.7109375" style="353" customWidth="1"/>
    <col min="4870" max="4870" width="10.7109375" style="353" customWidth="1"/>
    <col min="4871" max="4876" width="11.42578125" style="353"/>
    <col min="4877" max="4877" width="13.7109375" style="353" customWidth="1"/>
    <col min="4878" max="5120" width="11.42578125" style="353"/>
    <col min="5121" max="5121" width="13.28515625" style="353" customWidth="1"/>
    <col min="5122" max="5122" width="30.85546875" style="353" customWidth="1"/>
    <col min="5123" max="5125" width="12.7109375" style="353" customWidth="1"/>
    <col min="5126" max="5126" width="10.7109375" style="353" customWidth="1"/>
    <col min="5127" max="5132" width="11.42578125" style="353"/>
    <col min="5133" max="5133" width="13.7109375" style="353" customWidth="1"/>
    <col min="5134" max="5376" width="11.42578125" style="353"/>
    <col min="5377" max="5377" width="13.28515625" style="353" customWidth="1"/>
    <col min="5378" max="5378" width="30.85546875" style="353" customWidth="1"/>
    <col min="5379" max="5381" width="12.7109375" style="353" customWidth="1"/>
    <col min="5382" max="5382" width="10.7109375" style="353" customWidth="1"/>
    <col min="5383" max="5388" width="11.42578125" style="353"/>
    <col min="5389" max="5389" width="13.7109375" style="353" customWidth="1"/>
    <col min="5390" max="5632" width="11.42578125" style="353"/>
    <col min="5633" max="5633" width="13.28515625" style="353" customWidth="1"/>
    <col min="5634" max="5634" width="30.85546875" style="353" customWidth="1"/>
    <col min="5635" max="5637" width="12.7109375" style="353" customWidth="1"/>
    <col min="5638" max="5638" width="10.7109375" style="353" customWidth="1"/>
    <col min="5639" max="5644" width="11.42578125" style="353"/>
    <col min="5645" max="5645" width="13.7109375" style="353" customWidth="1"/>
    <col min="5646" max="5888" width="11.42578125" style="353"/>
    <col min="5889" max="5889" width="13.28515625" style="353" customWidth="1"/>
    <col min="5890" max="5890" width="30.85546875" style="353" customWidth="1"/>
    <col min="5891" max="5893" width="12.7109375" style="353" customWidth="1"/>
    <col min="5894" max="5894" width="10.7109375" style="353" customWidth="1"/>
    <col min="5895" max="5900" width="11.42578125" style="353"/>
    <col min="5901" max="5901" width="13.7109375" style="353" customWidth="1"/>
    <col min="5902" max="6144" width="11.42578125" style="353"/>
    <col min="6145" max="6145" width="13.28515625" style="353" customWidth="1"/>
    <col min="6146" max="6146" width="30.85546875" style="353" customWidth="1"/>
    <col min="6147" max="6149" width="12.7109375" style="353" customWidth="1"/>
    <col min="6150" max="6150" width="10.7109375" style="353" customWidth="1"/>
    <col min="6151" max="6156" width="11.42578125" style="353"/>
    <col min="6157" max="6157" width="13.7109375" style="353" customWidth="1"/>
    <col min="6158" max="6400" width="11.42578125" style="353"/>
    <col min="6401" max="6401" width="13.28515625" style="353" customWidth="1"/>
    <col min="6402" max="6402" width="30.85546875" style="353" customWidth="1"/>
    <col min="6403" max="6405" width="12.7109375" style="353" customWidth="1"/>
    <col min="6406" max="6406" width="10.7109375" style="353" customWidth="1"/>
    <col min="6407" max="6412" width="11.42578125" style="353"/>
    <col min="6413" max="6413" width="13.7109375" style="353" customWidth="1"/>
    <col min="6414" max="6656" width="11.42578125" style="353"/>
    <col min="6657" max="6657" width="13.28515625" style="353" customWidth="1"/>
    <col min="6658" max="6658" width="30.85546875" style="353" customWidth="1"/>
    <col min="6659" max="6661" width="12.7109375" style="353" customWidth="1"/>
    <col min="6662" max="6662" width="10.7109375" style="353" customWidth="1"/>
    <col min="6663" max="6668" width="11.42578125" style="353"/>
    <col min="6669" max="6669" width="13.7109375" style="353" customWidth="1"/>
    <col min="6670" max="6912" width="11.42578125" style="353"/>
    <col min="6913" max="6913" width="13.28515625" style="353" customWidth="1"/>
    <col min="6914" max="6914" width="30.85546875" style="353" customWidth="1"/>
    <col min="6915" max="6917" width="12.7109375" style="353" customWidth="1"/>
    <col min="6918" max="6918" width="10.7109375" style="353" customWidth="1"/>
    <col min="6919" max="6924" width="11.42578125" style="353"/>
    <col min="6925" max="6925" width="13.7109375" style="353" customWidth="1"/>
    <col min="6926" max="7168" width="11.42578125" style="353"/>
    <col min="7169" max="7169" width="13.28515625" style="353" customWidth="1"/>
    <col min="7170" max="7170" width="30.85546875" style="353" customWidth="1"/>
    <col min="7171" max="7173" width="12.7109375" style="353" customWidth="1"/>
    <col min="7174" max="7174" width="10.7109375" style="353" customWidth="1"/>
    <col min="7175" max="7180" width="11.42578125" style="353"/>
    <col min="7181" max="7181" width="13.7109375" style="353" customWidth="1"/>
    <col min="7182" max="7424" width="11.42578125" style="353"/>
    <col min="7425" max="7425" width="13.28515625" style="353" customWidth="1"/>
    <col min="7426" max="7426" width="30.85546875" style="353" customWidth="1"/>
    <col min="7427" max="7429" width="12.7109375" style="353" customWidth="1"/>
    <col min="7430" max="7430" width="10.7109375" style="353" customWidth="1"/>
    <col min="7431" max="7436" width="11.42578125" style="353"/>
    <col min="7437" max="7437" width="13.7109375" style="353" customWidth="1"/>
    <col min="7438" max="7680" width="11.42578125" style="353"/>
    <col min="7681" max="7681" width="13.28515625" style="353" customWidth="1"/>
    <col min="7682" max="7682" width="30.85546875" style="353" customWidth="1"/>
    <col min="7683" max="7685" width="12.7109375" style="353" customWidth="1"/>
    <col min="7686" max="7686" width="10.7109375" style="353" customWidth="1"/>
    <col min="7687" max="7692" width="11.42578125" style="353"/>
    <col min="7693" max="7693" width="13.7109375" style="353" customWidth="1"/>
    <col min="7694" max="7936" width="11.42578125" style="353"/>
    <col min="7937" max="7937" width="13.28515625" style="353" customWidth="1"/>
    <col min="7938" max="7938" width="30.85546875" style="353" customWidth="1"/>
    <col min="7939" max="7941" width="12.7109375" style="353" customWidth="1"/>
    <col min="7942" max="7942" width="10.7109375" style="353" customWidth="1"/>
    <col min="7943" max="7948" width="11.42578125" style="353"/>
    <col min="7949" max="7949" width="13.7109375" style="353" customWidth="1"/>
    <col min="7950" max="8192" width="11.42578125" style="353"/>
    <col min="8193" max="8193" width="13.28515625" style="353" customWidth="1"/>
    <col min="8194" max="8194" width="30.85546875" style="353" customWidth="1"/>
    <col min="8195" max="8197" width="12.7109375" style="353" customWidth="1"/>
    <col min="8198" max="8198" width="10.7109375" style="353" customWidth="1"/>
    <col min="8199" max="8204" width="11.42578125" style="353"/>
    <col min="8205" max="8205" width="13.7109375" style="353" customWidth="1"/>
    <col min="8206" max="8448" width="11.42578125" style="353"/>
    <col min="8449" max="8449" width="13.28515625" style="353" customWidth="1"/>
    <col min="8450" max="8450" width="30.85546875" style="353" customWidth="1"/>
    <col min="8451" max="8453" width="12.7109375" style="353" customWidth="1"/>
    <col min="8454" max="8454" width="10.7109375" style="353" customWidth="1"/>
    <col min="8455" max="8460" width="11.42578125" style="353"/>
    <col min="8461" max="8461" width="13.7109375" style="353" customWidth="1"/>
    <col min="8462" max="8704" width="11.42578125" style="353"/>
    <col min="8705" max="8705" width="13.28515625" style="353" customWidth="1"/>
    <col min="8706" max="8706" width="30.85546875" style="353" customWidth="1"/>
    <col min="8707" max="8709" width="12.7109375" style="353" customWidth="1"/>
    <col min="8710" max="8710" width="10.7109375" style="353" customWidth="1"/>
    <col min="8711" max="8716" width="11.42578125" style="353"/>
    <col min="8717" max="8717" width="13.7109375" style="353" customWidth="1"/>
    <col min="8718" max="8960" width="11.42578125" style="353"/>
    <col min="8961" max="8961" width="13.28515625" style="353" customWidth="1"/>
    <col min="8962" max="8962" width="30.85546875" style="353" customWidth="1"/>
    <col min="8963" max="8965" width="12.7109375" style="353" customWidth="1"/>
    <col min="8966" max="8966" width="10.7109375" style="353" customWidth="1"/>
    <col min="8967" max="8972" width="11.42578125" style="353"/>
    <col min="8973" max="8973" width="13.7109375" style="353" customWidth="1"/>
    <col min="8974" max="9216" width="11.42578125" style="353"/>
    <col min="9217" max="9217" width="13.28515625" style="353" customWidth="1"/>
    <col min="9218" max="9218" width="30.85546875" style="353" customWidth="1"/>
    <col min="9219" max="9221" width="12.7109375" style="353" customWidth="1"/>
    <col min="9222" max="9222" width="10.7109375" style="353" customWidth="1"/>
    <col min="9223" max="9228" width="11.42578125" style="353"/>
    <col min="9229" max="9229" width="13.7109375" style="353" customWidth="1"/>
    <col min="9230" max="9472" width="11.42578125" style="353"/>
    <col min="9473" max="9473" width="13.28515625" style="353" customWidth="1"/>
    <col min="9474" max="9474" width="30.85546875" style="353" customWidth="1"/>
    <col min="9475" max="9477" width="12.7109375" style="353" customWidth="1"/>
    <col min="9478" max="9478" width="10.7109375" style="353" customWidth="1"/>
    <col min="9479" max="9484" width="11.42578125" style="353"/>
    <col min="9485" max="9485" width="13.7109375" style="353" customWidth="1"/>
    <col min="9486" max="9728" width="11.42578125" style="353"/>
    <col min="9729" max="9729" width="13.28515625" style="353" customWidth="1"/>
    <col min="9730" max="9730" width="30.85546875" style="353" customWidth="1"/>
    <col min="9731" max="9733" width="12.7109375" style="353" customWidth="1"/>
    <col min="9734" max="9734" width="10.7109375" style="353" customWidth="1"/>
    <col min="9735" max="9740" width="11.42578125" style="353"/>
    <col min="9741" max="9741" width="13.7109375" style="353" customWidth="1"/>
    <col min="9742" max="9984" width="11.42578125" style="353"/>
    <col min="9985" max="9985" width="13.28515625" style="353" customWidth="1"/>
    <col min="9986" max="9986" width="30.85546875" style="353" customWidth="1"/>
    <col min="9987" max="9989" width="12.7109375" style="353" customWidth="1"/>
    <col min="9990" max="9990" width="10.7109375" style="353" customWidth="1"/>
    <col min="9991" max="9996" width="11.42578125" style="353"/>
    <col min="9997" max="9997" width="13.7109375" style="353" customWidth="1"/>
    <col min="9998" max="10240" width="11.42578125" style="353"/>
    <col min="10241" max="10241" width="13.28515625" style="353" customWidth="1"/>
    <col min="10242" max="10242" width="30.85546875" style="353" customWidth="1"/>
    <col min="10243" max="10245" width="12.7109375" style="353" customWidth="1"/>
    <col min="10246" max="10246" width="10.7109375" style="353" customWidth="1"/>
    <col min="10247" max="10252" width="11.42578125" style="353"/>
    <col min="10253" max="10253" width="13.7109375" style="353" customWidth="1"/>
    <col min="10254" max="10496" width="11.42578125" style="353"/>
    <col min="10497" max="10497" width="13.28515625" style="353" customWidth="1"/>
    <col min="10498" max="10498" width="30.85546875" style="353" customWidth="1"/>
    <col min="10499" max="10501" width="12.7109375" style="353" customWidth="1"/>
    <col min="10502" max="10502" width="10.7109375" style="353" customWidth="1"/>
    <col min="10503" max="10508" width="11.42578125" style="353"/>
    <col min="10509" max="10509" width="13.7109375" style="353" customWidth="1"/>
    <col min="10510" max="10752" width="11.42578125" style="353"/>
    <col min="10753" max="10753" width="13.28515625" style="353" customWidth="1"/>
    <col min="10754" max="10754" width="30.85546875" style="353" customWidth="1"/>
    <col min="10755" max="10757" width="12.7109375" style="353" customWidth="1"/>
    <col min="10758" max="10758" width="10.7109375" style="353" customWidth="1"/>
    <col min="10759" max="10764" width="11.42578125" style="353"/>
    <col min="10765" max="10765" width="13.7109375" style="353" customWidth="1"/>
    <col min="10766" max="11008" width="11.42578125" style="353"/>
    <col min="11009" max="11009" width="13.28515625" style="353" customWidth="1"/>
    <col min="11010" max="11010" width="30.85546875" style="353" customWidth="1"/>
    <col min="11011" max="11013" width="12.7109375" style="353" customWidth="1"/>
    <col min="11014" max="11014" width="10.7109375" style="353" customWidth="1"/>
    <col min="11015" max="11020" width="11.42578125" style="353"/>
    <col min="11021" max="11021" width="13.7109375" style="353" customWidth="1"/>
    <col min="11022" max="11264" width="11.42578125" style="353"/>
    <col min="11265" max="11265" width="13.28515625" style="353" customWidth="1"/>
    <col min="11266" max="11266" width="30.85546875" style="353" customWidth="1"/>
    <col min="11267" max="11269" width="12.7109375" style="353" customWidth="1"/>
    <col min="11270" max="11270" width="10.7109375" style="353" customWidth="1"/>
    <col min="11271" max="11276" width="11.42578125" style="353"/>
    <col min="11277" max="11277" width="13.7109375" style="353" customWidth="1"/>
    <col min="11278" max="11520" width="11.42578125" style="353"/>
    <col min="11521" max="11521" width="13.28515625" style="353" customWidth="1"/>
    <col min="11522" max="11522" width="30.85546875" style="353" customWidth="1"/>
    <col min="11523" max="11525" width="12.7109375" style="353" customWidth="1"/>
    <col min="11526" max="11526" width="10.7109375" style="353" customWidth="1"/>
    <col min="11527" max="11532" width="11.42578125" style="353"/>
    <col min="11533" max="11533" width="13.7109375" style="353" customWidth="1"/>
    <col min="11534" max="11776" width="11.42578125" style="353"/>
    <col min="11777" max="11777" width="13.28515625" style="353" customWidth="1"/>
    <col min="11778" max="11778" width="30.85546875" style="353" customWidth="1"/>
    <col min="11779" max="11781" width="12.7109375" style="353" customWidth="1"/>
    <col min="11782" max="11782" width="10.7109375" style="353" customWidth="1"/>
    <col min="11783" max="11788" width="11.42578125" style="353"/>
    <col min="11789" max="11789" width="13.7109375" style="353" customWidth="1"/>
    <col min="11790" max="12032" width="11.42578125" style="353"/>
    <col min="12033" max="12033" width="13.28515625" style="353" customWidth="1"/>
    <col min="12034" max="12034" width="30.85546875" style="353" customWidth="1"/>
    <col min="12035" max="12037" width="12.7109375" style="353" customWidth="1"/>
    <col min="12038" max="12038" width="10.7109375" style="353" customWidth="1"/>
    <col min="12039" max="12044" width="11.42578125" style="353"/>
    <col min="12045" max="12045" width="13.7109375" style="353" customWidth="1"/>
    <col min="12046" max="12288" width="11.42578125" style="353"/>
    <col min="12289" max="12289" width="13.28515625" style="353" customWidth="1"/>
    <col min="12290" max="12290" width="30.85546875" style="353" customWidth="1"/>
    <col min="12291" max="12293" width="12.7109375" style="353" customWidth="1"/>
    <col min="12294" max="12294" width="10.7109375" style="353" customWidth="1"/>
    <col min="12295" max="12300" width="11.42578125" style="353"/>
    <col min="12301" max="12301" width="13.7109375" style="353" customWidth="1"/>
    <col min="12302" max="12544" width="11.42578125" style="353"/>
    <col min="12545" max="12545" width="13.28515625" style="353" customWidth="1"/>
    <col min="12546" max="12546" width="30.85546875" style="353" customWidth="1"/>
    <col min="12547" max="12549" width="12.7109375" style="353" customWidth="1"/>
    <col min="12550" max="12550" width="10.7109375" style="353" customWidth="1"/>
    <col min="12551" max="12556" width="11.42578125" style="353"/>
    <col min="12557" max="12557" width="13.7109375" style="353" customWidth="1"/>
    <col min="12558" max="12800" width="11.42578125" style="353"/>
    <col min="12801" max="12801" width="13.28515625" style="353" customWidth="1"/>
    <col min="12802" max="12802" width="30.85546875" style="353" customWidth="1"/>
    <col min="12803" max="12805" width="12.7109375" style="353" customWidth="1"/>
    <col min="12806" max="12806" width="10.7109375" style="353" customWidth="1"/>
    <col min="12807" max="12812" width="11.42578125" style="353"/>
    <col min="12813" max="12813" width="13.7109375" style="353" customWidth="1"/>
    <col min="12814" max="13056" width="11.42578125" style="353"/>
    <col min="13057" max="13057" width="13.28515625" style="353" customWidth="1"/>
    <col min="13058" max="13058" width="30.85546875" style="353" customWidth="1"/>
    <col min="13059" max="13061" width="12.7109375" style="353" customWidth="1"/>
    <col min="13062" max="13062" width="10.7109375" style="353" customWidth="1"/>
    <col min="13063" max="13068" width="11.42578125" style="353"/>
    <col min="13069" max="13069" width="13.7109375" style="353" customWidth="1"/>
    <col min="13070" max="13312" width="11.42578125" style="353"/>
    <col min="13313" max="13313" width="13.28515625" style="353" customWidth="1"/>
    <col min="13314" max="13314" width="30.85546875" style="353" customWidth="1"/>
    <col min="13315" max="13317" width="12.7109375" style="353" customWidth="1"/>
    <col min="13318" max="13318" width="10.7109375" style="353" customWidth="1"/>
    <col min="13319" max="13324" width="11.42578125" style="353"/>
    <col min="13325" max="13325" width="13.7109375" style="353" customWidth="1"/>
    <col min="13326" max="13568" width="11.42578125" style="353"/>
    <col min="13569" max="13569" width="13.28515625" style="353" customWidth="1"/>
    <col min="13570" max="13570" width="30.85546875" style="353" customWidth="1"/>
    <col min="13571" max="13573" width="12.7109375" style="353" customWidth="1"/>
    <col min="13574" max="13574" width="10.7109375" style="353" customWidth="1"/>
    <col min="13575" max="13580" width="11.42578125" style="353"/>
    <col min="13581" max="13581" width="13.7109375" style="353" customWidth="1"/>
    <col min="13582" max="13824" width="11.42578125" style="353"/>
    <col min="13825" max="13825" width="13.28515625" style="353" customWidth="1"/>
    <col min="13826" max="13826" width="30.85546875" style="353" customWidth="1"/>
    <col min="13827" max="13829" width="12.7109375" style="353" customWidth="1"/>
    <col min="13830" max="13830" width="10.7109375" style="353" customWidth="1"/>
    <col min="13831" max="13836" width="11.42578125" style="353"/>
    <col min="13837" max="13837" width="13.7109375" style="353" customWidth="1"/>
    <col min="13838" max="14080" width="11.42578125" style="353"/>
    <col min="14081" max="14081" width="13.28515625" style="353" customWidth="1"/>
    <col min="14082" max="14082" width="30.85546875" style="353" customWidth="1"/>
    <col min="14083" max="14085" width="12.7109375" style="353" customWidth="1"/>
    <col min="14086" max="14086" width="10.7109375" style="353" customWidth="1"/>
    <col min="14087" max="14092" width="11.42578125" style="353"/>
    <col min="14093" max="14093" width="13.7109375" style="353" customWidth="1"/>
    <col min="14094" max="14336" width="11.42578125" style="353"/>
    <col min="14337" max="14337" width="13.28515625" style="353" customWidth="1"/>
    <col min="14338" max="14338" width="30.85546875" style="353" customWidth="1"/>
    <col min="14339" max="14341" width="12.7109375" style="353" customWidth="1"/>
    <col min="14342" max="14342" width="10.7109375" style="353" customWidth="1"/>
    <col min="14343" max="14348" width="11.42578125" style="353"/>
    <col min="14349" max="14349" width="13.7109375" style="353" customWidth="1"/>
    <col min="14350" max="14592" width="11.42578125" style="353"/>
    <col min="14593" max="14593" width="13.28515625" style="353" customWidth="1"/>
    <col min="14594" max="14594" width="30.85546875" style="353" customWidth="1"/>
    <col min="14595" max="14597" width="12.7109375" style="353" customWidth="1"/>
    <col min="14598" max="14598" width="10.7109375" style="353" customWidth="1"/>
    <col min="14599" max="14604" width="11.42578125" style="353"/>
    <col min="14605" max="14605" width="13.7109375" style="353" customWidth="1"/>
    <col min="14606" max="14848" width="11.42578125" style="353"/>
    <col min="14849" max="14849" width="13.28515625" style="353" customWidth="1"/>
    <col min="14850" max="14850" width="30.85546875" style="353" customWidth="1"/>
    <col min="14851" max="14853" width="12.7109375" style="353" customWidth="1"/>
    <col min="14854" max="14854" width="10.7109375" style="353" customWidth="1"/>
    <col min="14855" max="14860" width="11.42578125" style="353"/>
    <col min="14861" max="14861" width="13.7109375" style="353" customWidth="1"/>
    <col min="14862" max="15104" width="11.42578125" style="353"/>
    <col min="15105" max="15105" width="13.28515625" style="353" customWidth="1"/>
    <col min="15106" max="15106" width="30.85546875" style="353" customWidth="1"/>
    <col min="15107" max="15109" width="12.7109375" style="353" customWidth="1"/>
    <col min="15110" max="15110" width="10.7109375" style="353" customWidth="1"/>
    <col min="15111" max="15116" width="11.42578125" style="353"/>
    <col min="15117" max="15117" width="13.7109375" style="353" customWidth="1"/>
    <col min="15118" max="15360" width="11.42578125" style="353"/>
    <col min="15361" max="15361" width="13.28515625" style="353" customWidth="1"/>
    <col min="15362" max="15362" width="30.85546875" style="353" customWidth="1"/>
    <col min="15363" max="15365" width="12.7109375" style="353" customWidth="1"/>
    <col min="15366" max="15366" width="10.7109375" style="353" customWidth="1"/>
    <col min="15367" max="15372" width="11.42578125" style="353"/>
    <col min="15373" max="15373" width="13.7109375" style="353" customWidth="1"/>
    <col min="15374" max="15616" width="11.42578125" style="353"/>
    <col min="15617" max="15617" width="13.28515625" style="353" customWidth="1"/>
    <col min="15618" max="15618" width="30.85546875" style="353" customWidth="1"/>
    <col min="15619" max="15621" width="12.7109375" style="353" customWidth="1"/>
    <col min="15622" max="15622" width="10.7109375" style="353" customWidth="1"/>
    <col min="15623" max="15628" width="11.42578125" style="353"/>
    <col min="15629" max="15629" width="13.7109375" style="353" customWidth="1"/>
    <col min="15630" max="15872" width="11.42578125" style="353"/>
    <col min="15873" max="15873" width="13.28515625" style="353" customWidth="1"/>
    <col min="15874" max="15874" width="30.85546875" style="353" customWidth="1"/>
    <col min="15875" max="15877" width="12.7109375" style="353" customWidth="1"/>
    <col min="15878" max="15878" width="10.7109375" style="353" customWidth="1"/>
    <col min="15879" max="15884" width="11.42578125" style="353"/>
    <col min="15885" max="15885" width="13.7109375" style="353" customWidth="1"/>
    <col min="15886" max="16128" width="11.42578125" style="353"/>
    <col min="16129" max="16129" width="13.28515625" style="353" customWidth="1"/>
    <col min="16130" max="16130" width="30.85546875" style="353" customWidth="1"/>
    <col min="16131" max="16133" width="12.7109375" style="353" customWidth="1"/>
    <col min="16134" max="16134" width="10.7109375" style="353" customWidth="1"/>
    <col min="16135" max="16140" width="11.42578125" style="353"/>
    <col min="16141" max="16141" width="13.7109375" style="353" customWidth="1"/>
    <col min="16142" max="16384" width="11.42578125" style="353"/>
  </cols>
  <sheetData>
    <row r="6" spans="2:6" ht="30" customHeight="1">
      <c r="B6" s="246" t="s">
        <v>266</v>
      </c>
      <c r="C6" s="247"/>
      <c r="D6" s="247"/>
      <c r="E6" s="248"/>
    </row>
    <row r="7" spans="2:6" ht="40.5" customHeight="1">
      <c r="B7" s="30" t="s">
        <v>267</v>
      </c>
      <c r="C7" s="223" t="str">
        <f>actualizaciones!A3</f>
        <v>acumulado julio 2009</v>
      </c>
      <c r="D7" s="223" t="str">
        <f>actualizaciones!A2</f>
        <v xml:space="preserve">acumulado julio 2010 </v>
      </c>
      <c r="E7" s="354" t="s">
        <v>262</v>
      </c>
    </row>
    <row r="8" spans="2:6" ht="15" customHeight="1">
      <c r="B8" s="98" t="s">
        <v>268</v>
      </c>
      <c r="C8" s="355"/>
      <c r="D8" s="356"/>
      <c r="E8" s="357"/>
    </row>
    <row r="9" spans="2:6">
      <c r="B9" s="358" t="s">
        <v>107</v>
      </c>
      <c r="C9" s="348">
        <f>GETPIVOTDATA("Suma de TOTAL GENERAL",'[1]tabla dinámica IO'!$A$4,"PAIS/INDICADOR","INDICE OCUPACION ACUMULADO","AÑO",2009)</f>
        <v>53.490004210812813</v>
      </c>
      <c r="D9" s="348">
        <f>GETPIVOTDATA("Suma de TOTAL GENERAL",'[1]tabla dinámica IO'!$A$4,"PAIS/INDICADOR","INDICE OCUPACION ACUMULADO","AÑO",2010)</f>
        <v>54.358202977071883</v>
      </c>
      <c r="E9" s="359">
        <f>D9/C9-1</f>
        <v>1.6231046885645251E-2</v>
      </c>
    </row>
    <row r="10" spans="2:6">
      <c r="B10" s="360" t="s">
        <v>242</v>
      </c>
      <c r="C10" s="350">
        <f>GETPIVOTDATA("Suma de TOTAL HOTELERO",'[1]tabla dinámica IO'!$A$4,"PAIS/INDICADOR","INDICE OCUPACION ACUMULADO","AÑO",2009)</f>
        <v>61.991647762397605</v>
      </c>
      <c r="D10" s="350">
        <f>GETPIVOTDATA("Suma de TOTAL HOTELERO",'[1]tabla dinámica IO'!$A$4,"PAIS/INDICADOR","INDICE OCUPACION ACUMULADO","AÑO",2010)</f>
        <v>63.816408769433401</v>
      </c>
      <c r="E10" s="361">
        <f t="shared" ref="E10:E15" si="0">D10/C10-1</f>
        <v>2.9435594517986718E-2</v>
      </c>
      <c r="F10" s="362"/>
    </row>
    <row r="11" spans="2:6">
      <c r="B11" s="363" t="s">
        <v>248</v>
      </c>
      <c r="C11" s="364">
        <f>GETPIVOTDATA("Suma de Extrahoteleros",'[1]tabla dinámica IO'!$A$4,"PAIS/INDICADOR","INDICE OCUPACION ACUMULADO","AÑO",2009)</f>
        <v>45.751555188498372</v>
      </c>
      <c r="D11" s="364">
        <f>GETPIVOTDATA("Suma de Extrahoteleros",'[1]tabla dinámica IO'!$A$4,"PAIS/INDICADOR","INDICE OCUPACION ACUMULADO","AÑO",2010)</f>
        <v>45.442623699464505</v>
      </c>
      <c r="E11" s="365">
        <f t="shared" si="0"/>
        <v>-6.7523713185498879E-3</v>
      </c>
      <c r="F11" s="362"/>
    </row>
    <row r="12" spans="2:6" ht="15" customHeight="1">
      <c r="B12" s="98" t="s">
        <v>269</v>
      </c>
      <c r="C12" s="366"/>
      <c r="D12" s="366"/>
      <c r="E12" s="367"/>
    </row>
    <row r="13" spans="2:6">
      <c r="B13" s="358" t="s">
        <v>107</v>
      </c>
      <c r="C13" s="348">
        <f>GETPIVOTDATA("Suma de TOTAL Z4",'[1]tabla dinámica IO'!$A$4,"PAIS/INDICADOR","INDICE OCUPACION ACUMULADO","AÑO",2009)</f>
        <v>53.872314000372121</v>
      </c>
      <c r="D13" s="348">
        <f>GETPIVOTDATA("Suma de TOTAL Z4",'[1]tabla dinámica IO'!$A$4,"PAIS/INDICADOR","INDICE OCUPACION ACUMULADO","AÑO",2010)</f>
        <v>55.400707288807013</v>
      </c>
      <c r="E13" s="359">
        <f t="shared" si="0"/>
        <v>2.8370663425081988E-2</v>
      </c>
    </row>
    <row r="14" spans="2:6">
      <c r="B14" s="360" t="s">
        <v>242</v>
      </c>
      <c r="C14" s="350">
        <f>GETPIVOTDATA("Suma de HOTEL Z4",'[1]tabla dinámica IO'!$A$4,"PAIS/INDICADOR","INDICE OCUPACION ACUMULADO","AÑO",2009)</f>
        <v>64.001854261490251</v>
      </c>
      <c r="D14" s="350">
        <f>GETPIVOTDATA("Suma de HOTEL Z4",'[1]tabla dinámica IO'!$A$4,"PAIS/INDICADOR","INDICE OCUPACION ACUMULADO","AÑO",2010)</f>
        <v>66.68661485953028</v>
      </c>
      <c r="E14" s="361">
        <f t="shared" si="0"/>
        <v>4.1948168986963852E-2</v>
      </c>
      <c r="F14" s="362"/>
    </row>
    <row r="15" spans="2:6">
      <c r="B15" s="363" t="s">
        <v>248</v>
      </c>
      <c r="C15" s="368">
        <f>GETPIVOTDATA("Suma de EXTRA-H Z4",'[1]tabla dinámica IO'!$A$4,"PAIS/INDICADOR","INDICE OCUPACION ACUMULADO","AÑO",2009)</f>
        <v>45.709758128985762</v>
      </c>
      <c r="D15" s="368">
        <f>GETPIVOTDATA("Suma de EXTRA-H Z4",'[1]tabla dinámica IO'!$A$4,"PAIS/INDICADOR","INDICE OCUPACION ACUMULADO","AÑO",2010)</f>
        <v>46.084330335225509</v>
      </c>
      <c r="E15" s="361">
        <f t="shared" si="0"/>
        <v>8.1945786101682572E-3</v>
      </c>
      <c r="F15" s="362"/>
    </row>
    <row r="16" spans="2:6" ht="15" customHeight="1">
      <c r="B16" s="98" t="s">
        <v>89</v>
      </c>
      <c r="C16" s="366"/>
      <c r="D16" s="366"/>
      <c r="E16" s="367"/>
      <c r="F16" s="362"/>
    </row>
    <row r="17" spans="2:12">
      <c r="B17" s="358" t="s">
        <v>107</v>
      </c>
      <c r="C17" s="348">
        <f>'[1]tabla dinámica municipios'!$K$311*100</f>
        <v>55.615451674608849</v>
      </c>
      <c r="D17" s="348">
        <f>'[1]tabla dinámica municipios'!$U$311*100</f>
        <v>57.336689255463426</v>
      </c>
      <c r="E17" s="359">
        <f t="shared" ref="E17:E19" si="1">D17/C17-1</f>
        <v>3.0948909503155209E-2</v>
      </c>
    </row>
    <row r="18" spans="2:12">
      <c r="B18" s="360" t="s">
        <v>242</v>
      </c>
      <c r="C18" s="350">
        <f>'[1]tabla dinámica municipios'!$J$311*100</f>
        <v>66.215013478371304</v>
      </c>
      <c r="D18" s="350">
        <f>'[1]tabla dinámica municipios'!$T$311*100</f>
        <v>69.815886269859277</v>
      </c>
      <c r="E18" s="361">
        <f t="shared" si="1"/>
        <v>5.4381515646208856E-2</v>
      </c>
      <c r="F18" s="362"/>
    </row>
    <row r="19" spans="2:12">
      <c r="B19" s="360" t="s">
        <v>248</v>
      </c>
      <c r="C19" s="351">
        <f>'[1]tabla dinámica municipios'!$I$311*100</f>
        <v>44.204648752749911</v>
      </c>
      <c r="D19" s="351">
        <f>'[1]tabla dinámica municipios'!$S$311*100</f>
        <v>43.885093047549042</v>
      </c>
      <c r="E19" s="361">
        <f t="shared" si="1"/>
        <v>-7.2290067723022045E-3</v>
      </c>
      <c r="F19" s="362"/>
    </row>
    <row r="20" spans="2:12" ht="22.5" customHeight="1">
      <c r="B20" s="369" t="s">
        <v>186</v>
      </c>
      <c r="C20" s="369"/>
      <c r="D20" s="369"/>
      <c r="E20" s="369"/>
    </row>
    <row r="21" spans="2:12" ht="15" customHeight="1" thickBot="1">
      <c r="B21" s="370"/>
      <c r="C21" s="371"/>
      <c r="D21" s="371"/>
    </row>
    <row r="22" spans="2:12" ht="30" customHeight="1" thickBot="1">
      <c r="B22" s="339"/>
      <c r="C22" s="339"/>
      <c r="D22" s="339"/>
      <c r="E22" s="60" t="s">
        <v>49</v>
      </c>
      <c r="F22" s="339"/>
      <c r="G22" s="339"/>
      <c r="H22" s="339"/>
      <c r="I22" s="339"/>
      <c r="J22" s="339"/>
      <c r="K22" s="339"/>
      <c r="L22" s="339"/>
    </row>
  </sheetData>
  <mergeCells count="2">
    <mergeCell ref="B6:E6"/>
    <mergeCell ref="B20:E20"/>
  </mergeCells>
  <hyperlinks>
    <hyperlink ref="E22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5" sqref="B25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349"/>
    </row>
    <row r="4" spans="21:21">
      <c r="U4" s="349"/>
    </row>
    <row r="5" spans="21:21">
      <c r="U5" s="349"/>
    </row>
    <row r="8" spans="21:21" ht="25.5" customHeight="1"/>
    <row r="9" spans="21:21" ht="25.5" customHeight="1"/>
    <row r="11" spans="21:21">
      <c r="U11" s="349"/>
    </row>
    <row r="12" spans="21:21">
      <c r="U12" s="349"/>
    </row>
    <row r="15" spans="21:21">
      <c r="U15" s="349"/>
    </row>
    <row r="16" spans="21:21">
      <c r="U16" s="349"/>
    </row>
    <row r="17" spans="2:21">
      <c r="U17" s="349"/>
    </row>
    <row r="19" spans="2:21">
      <c r="U19" s="349"/>
    </row>
    <row r="20" spans="2:21">
      <c r="U20" s="349"/>
    </row>
    <row r="21" spans="2:21">
      <c r="U21" s="349"/>
    </row>
    <row r="23" spans="2:21">
      <c r="U23" s="349"/>
    </row>
    <row r="24" spans="2:21" ht="16.5" customHeight="1">
      <c r="U24" s="349"/>
    </row>
    <row r="25" spans="2:21">
      <c r="U25" s="349"/>
    </row>
    <row r="26" spans="2:21" ht="15" customHeight="1" thickBot="1"/>
    <row r="27" spans="2:21" ht="30" customHeight="1" thickBot="1">
      <c r="I27" s="60" t="s">
        <v>51</v>
      </c>
    </row>
    <row r="28" spans="2:21">
      <c r="B28" s="12"/>
      <c r="C28" s="12"/>
      <c r="D28" s="12"/>
      <c r="E28" s="12"/>
      <c r="F28" s="12"/>
      <c r="G28" s="12"/>
      <c r="L28" s="12"/>
    </row>
    <row r="29" spans="2:21">
      <c r="H29" s="12"/>
      <c r="I29" s="12"/>
      <c r="J29" s="12"/>
      <c r="K29" s="1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9"/>
  <sheetViews>
    <sheetView showGridLines="0" showRowColHeaders="0" showOutlineSymbols="0" zoomScaleNormal="100" workbookViewId="0">
      <selection activeCell="B25" sqref="B25"/>
    </sheetView>
  </sheetViews>
  <sheetFormatPr baseColWidth="10" defaultRowHeight="12.75"/>
  <cols>
    <col min="1" max="1" width="11.42578125" style="353"/>
    <col min="2" max="2" width="37.42578125" style="353" customWidth="1"/>
    <col min="3" max="5" width="11.7109375" style="353" customWidth="1"/>
    <col min="6" max="6" width="10.5703125" style="353" customWidth="1"/>
    <col min="7" max="7" width="10.7109375" style="353" customWidth="1"/>
    <col min="8" max="13" width="11.42578125" style="353"/>
    <col min="14" max="14" width="13.7109375" style="353" customWidth="1"/>
    <col min="15" max="257" width="11.42578125" style="353"/>
    <col min="258" max="258" width="37.42578125" style="353" customWidth="1"/>
    <col min="259" max="261" width="11.7109375" style="353" customWidth="1"/>
    <col min="262" max="262" width="10.5703125" style="353" customWidth="1"/>
    <col min="263" max="263" width="10.7109375" style="353" customWidth="1"/>
    <col min="264" max="269" width="11.42578125" style="353"/>
    <col min="270" max="270" width="13.7109375" style="353" customWidth="1"/>
    <col min="271" max="513" width="11.42578125" style="353"/>
    <col min="514" max="514" width="37.42578125" style="353" customWidth="1"/>
    <col min="515" max="517" width="11.7109375" style="353" customWidth="1"/>
    <col min="518" max="518" width="10.5703125" style="353" customWidth="1"/>
    <col min="519" max="519" width="10.7109375" style="353" customWidth="1"/>
    <col min="520" max="525" width="11.42578125" style="353"/>
    <col min="526" max="526" width="13.7109375" style="353" customWidth="1"/>
    <col min="527" max="769" width="11.42578125" style="353"/>
    <col min="770" max="770" width="37.42578125" style="353" customWidth="1"/>
    <col min="771" max="773" width="11.7109375" style="353" customWidth="1"/>
    <col min="774" max="774" width="10.5703125" style="353" customWidth="1"/>
    <col min="775" max="775" width="10.7109375" style="353" customWidth="1"/>
    <col min="776" max="781" width="11.42578125" style="353"/>
    <col min="782" max="782" width="13.7109375" style="353" customWidth="1"/>
    <col min="783" max="1025" width="11.42578125" style="353"/>
    <col min="1026" max="1026" width="37.42578125" style="353" customWidth="1"/>
    <col min="1027" max="1029" width="11.7109375" style="353" customWidth="1"/>
    <col min="1030" max="1030" width="10.5703125" style="353" customWidth="1"/>
    <col min="1031" max="1031" width="10.7109375" style="353" customWidth="1"/>
    <col min="1032" max="1037" width="11.42578125" style="353"/>
    <col min="1038" max="1038" width="13.7109375" style="353" customWidth="1"/>
    <col min="1039" max="1281" width="11.42578125" style="353"/>
    <col min="1282" max="1282" width="37.42578125" style="353" customWidth="1"/>
    <col min="1283" max="1285" width="11.7109375" style="353" customWidth="1"/>
    <col min="1286" max="1286" width="10.5703125" style="353" customWidth="1"/>
    <col min="1287" max="1287" width="10.7109375" style="353" customWidth="1"/>
    <col min="1288" max="1293" width="11.42578125" style="353"/>
    <col min="1294" max="1294" width="13.7109375" style="353" customWidth="1"/>
    <col min="1295" max="1537" width="11.42578125" style="353"/>
    <col min="1538" max="1538" width="37.42578125" style="353" customWidth="1"/>
    <col min="1539" max="1541" width="11.7109375" style="353" customWidth="1"/>
    <col min="1542" max="1542" width="10.5703125" style="353" customWidth="1"/>
    <col min="1543" max="1543" width="10.7109375" style="353" customWidth="1"/>
    <col min="1544" max="1549" width="11.42578125" style="353"/>
    <col min="1550" max="1550" width="13.7109375" style="353" customWidth="1"/>
    <col min="1551" max="1793" width="11.42578125" style="353"/>
    <col min="1794" max="1794" width="37.42578125" style="353" customWidth="1"/>
    <col min="1795" max="1797" width="11.7109375" style="353" customWidth="1"/>
    <col min="1798" max="1798" width="10.5703125" style="353" customWidth="1"/>
    <col min="1799" max="1799" width="10.7109375" style="353" customWidth="1"/>
    <col min="1800" max="1805" width="11.42578125" style="353"/>
    <col min="1806" max="1806" width="13.7109375" style="353" customWidth="1"/>
    <col min="1807" max="2049" width="11.42578125" style="353"/>
    <col min="2050" max="2050" width="37.42578125" style="353" customWidth="1"/>
    <col min="2051" max="2053" width="11.7109375" style="353" customWidth="1"/>
    <col min="2054" max="2054" width="10.5703125" style="353" customWidth="1"/>
    <col min="2055" max="2055" width="10.7109375" style="353" customWidth="1"/>
    <col min="2056" max="2061" width="11.42578125" style="353"/>
    <col min="2062" max="2062" width="13.7109375" style="353" customWidth="1"/>
    <col min="2063" max="2305" width="11.42578125" style="353"/>
    <col min="2306" max="2306" width="37.42578125" style="353" customWidth="1"/>
    <col min="2307" max="2309" width="11.7109375" style="353" customWidth="1"/>
    <col min="2310" max="2310" width="10.5703125" style="353" customWidth="1"/>
    <col min="2311" max="2311" width="10.7109375" style="353" customWidth="1"/>
    <col min="2312" max="2317" width="11.42578125" style="353"/>
    <col min="2318" max="2318" width="13.7109375" style="353" customWidth="1"/>
    <col min="2319" max="2561" width="11.42578125" style="353"/>
    <col min="2562" max="2562" width="37.42578125" style="353" customWidth="1"/>
    <col min="2563" max="2565" width="11.7109375" style="353" customWidth="1"/>
    <col min="2566" max="2566" width="10.5703125" style="353" customWidth="1"/>
    <col min="2567" max="2567" width="10.7109375" style="353" customWidth="1"/>
    <col min="2568" max="2573" width="11.42578125" style="353"/>
    <col min="2574" max="2574" width="13.7109375" style="353" customWidth="1"/>
    <col min="2575" max="2817" width="11.42578125" style="353"/>
    <col min="2818" max="2818" width="37.42578125" style="353" customWidth="1"/>
    <col min="2819" max="2821" width="11.7109375" style="353" customWidth="1"/>
    <col min="2822" max="2822" width="10.5703125" style="353" customWidth="1"/>
    <col min="2823" max="2823" width="10.7109375" style="353" customWidth="1"/>
    <col min="2824" max="2829" width="11.42578125" style="353"/>
    <col min="2830" max="2830" width="13.7109375" style="353" customWidth="1"/>
    <col min="2831" max="3073" width="11.42578125" style="353"/>
    <col min="3074" max="3074" width="37.42578125" style="353" customWidth="1"/>
    <col min="3075" max="3077" width="11.7109375" style="353" customWidth="1"/>
    <col min="3078" max="3078" width="10.5703125" style="353" customWidth="1"/>
    <col min="3079" max="3079" width="10.7109375" style="353" customWidth="1"/>
    <col min="3080" max="3085" width="11.42578125" style="353"/>
    <col min="3086" max="3086" width="13.7109375" style="353" customWidth="1"/>
    <col min="3087" max="3329" width="11.42578125" style="353"/>
    <col min="3330" max="3330" width="37.42578125" style="353" customWidth="1"/>
    <col min="3331" max="3333" width="11.7109375" style="353" customWidth="1"/>
    <col min="3334" max="3334" width="10.5703125" style="353" customWidth="1"/>
    <col min="3335" max="3335" width="10.7109375" style="353" customWidth="1"/>
    <col min="3336" max="3341" width="11.42578125" style="353"/>
    <col min="3342" max="3342" width="13.7109375" style="353" customWidth="1"/>
    <col min="3343" max="3585" width="11.42578125" style="353"/>
    <col min="3586" max="3586" width="37.42578125" style="353" customWidth="1"/>
    <col min="3587" max="3589" width="11.7109375" style="353" customWidth="1"/>
    <col min="3590" max="3590" width="10.5703125" style="353" customWidth="1"/>
    <col min="3591" max="3591" width="10.7109375" style="353" customWidth="1"/>
    <col min="3592" max="3597" width="11.42578125" style="353"/>
    <col min="3598" max="3598" width="13.7109375" style="353" customWidth="1"/>
    <col min="3599" max="3841" width="11.42578125" style="353"/>
    <col min="3842" max="3842" width="37.42578125" style="353" customWidth="1"/>
    <col min="3843" max="3845" width="11.7109375" style="353" customWidth="1"/>
    <col min="3846" max="3846" width="10.5703125" style="353" customWidth="1"/>
    <col min="3847" max="3847" width="10.7109375" style="353" customWidth="1"/>
    <col min="3848" max="3853" width="11.42578125" style="353"/>
    <col min="3854" max="3854" width="13.7109375" style="353" customWidth="1"/>
    <col min="3855" max="4097" width="11.42578125" style="353"/>
    <col min="4098" max="4098" width="37.42578125" style="353" customWidth="1"/>
    <col min="4099" max="4101" width="11.7109375" style="353" customWidth="1"/>
    <col min="4102" max="4102" width="10.5703125" style="353" customWidth="1"/>
    <col min="4103" max="4103" width="10.7109375" style="353" customWidth="1"/>
    <col min="4104" max="4109" width="11.42578125" style="353"/>
    <col min="4110" max="4110" width="13.7109375" style="353" customWidth="1"/>
    <col min="4111" max="4353" width="11.42578125" style="353"/>
    <col min="4354" max="4354" width="37.42578125" style="353" customWidth="1"/>
    <col min="4355" max="4357" width="11.7109375" style="353" customWidth="1"/>
    <col min="4358" max="4358" width="10.5703125" style="353" customWidth="1"/>
    <col min="4359" max="4359" width="10.7109375" style="353" customWidth="1"/>
    <col min="4360" max="4365" width="11.42578125" style="353"/>
    <col min="4366" max="4366" width="13.7109375" style="353" customWidth="1"/>
    <col min="4367" max="4609" width="11.42578125" style="353"/>
    <col min="4610" max="4610" width="37.42578125" style="353" customWidth="1"/>
    <col min="4611" max="4613" width="11.7109375" style="353" customWidth="1"/>
    <col min="4614" max="4614" width="10.5703125" style="353" customWidth="1"/>
    <col min="4615" max="4615" width="10.7109375" style="353" customWidth="1"/>
    <col min="4616" max="4621" width="11.42578125" style="353"/>
    <col min="4622" max="4622" width="13.7109375" style="353" customWidth="1"/>
    <col min="4623" max="4865" width="11.42578125" style="353"/>
    <col min="4866" max="4866" width="37.42578125" style="353" customWidth="1"/>
    <col min="4867" max="4869" width="11.7109375" style="353" customWidth="1"/>
    <col min="4870" max="4870" width="10.5703125" style="353" customWidth="1"/>
    <col min="4871" max="4871" width="10.7109375" style="353" customWidth="1"/>
    <col min="4872" max="4877" width="11.42578125" style="353"/>
    <col min="4878" max="4878" width="13.7109375" style="353" customWidth="1"/>
    <col min="4879" max="5121" width="11.42578125" style="353"/>
    <col min="5122" max="5122" width="37.42578125" style="353" customWidth="1"/>
    <col min="5123" max="5125" width="11.7109375" style="353" customWidth="1"/>
    <col min="5126" max="5126" width="10.5703125" style="353" customWidth="1"/>
    <col min="5127" max="5127" width="10.7109375" style="353" customWidth="1"/>
    <col min="5128" max="5133" width="11.42578125" style="353"/>
    <col min="5134" max="5134" width="13.7109375" style="353" customWidth="1"/>
    <col min="5135" max="5377" width="11.42578125" style="353"/>
    <col min="5378" max="5378" width="37.42578125" style="353" customWidth="1"/>
    <col min="5379" max="5381" width="11.7109375" style="353" customWidth="1"/>
    <col min="5382" max="5382" width="10.5703125" style="353" customWidth="1"/>
    <col min="5383" max="5383" width="10.7109375" style="353" customWidth="1"/>
    <col min="5384" max="5389" width="11.42578125" style="353"/>
    <col min="5390" max="5390" width="13.7109375" style="353" customWidth="1"/>
    <col min="5391" max="5633" width="11.42578125" style="353"/>
    <col min="5634" max="5634" width="37.42578125" style="353" customWidth="1"/>
    <col min="5635" max="5637" width="11.7109375" style="353" customWidth="1"/>
    <col min="5638" max="5638" width="10.5703125" style="353" customWidth="1"/>
    <col min="5639" max="5639" width="10.7109375" style="353" customWidth="1"/>
    <col min="5640" max="5645" width="11.42578125" style="353"/>
    <col min="5646" max="5646" width="13.7109375" style="353" customWidth="1"/>
    <col min="5647" max="5889" width="11.42578125" style="353"/>
    <col min="5890" max="5890" width="37.42578125" style="353" customWidth="1"/>
    <col min="5891" max="5893" width="11.7109375" style="353" customWidth="1"/>
    <col min="5894" max="5894" width="10.5703125" style="353" customWidth="1"/>
    <col min="5895" max="5895" width="10.7109375" style="353" customWidth="1"/>
    <col min="5896" max="5901" width="11.42578125" style="353"/>
    <col min="5902" max="5902" width="13.7109375" style="353" customWidth="1"/>
    <col min="5903" max="6145" width="11.42578125" style="353"/>
    <col min="6146" max="6146" width="37.42578125" style="353" customWidth="1"/>
    <col min="6147" max="6149" width="11.7109375" style="353" customWidth="1"/>
    <col min="6150" max="6150" width="10.5703125" style="353" customWidth="1"/>
    <col min="6151" max="6151" width="10.7109375" style="353" customWidth="1"/>
    <col min="6152" max="6157" width="11.42578125" style="353"/>
    <col min="6158" max="6158" width="13.7109375" style="353" customWidth="1"/>
    <col min="6159" max="6401" width="11.42578125" style="353"/>
    <col min="6402" max="6402" width="37.42578125" style="353" customWidth="1"/>
    <col min="6403" max="6405" width="11.7109375" style="353" customWidth="1"/>
    <col min="6406" max="6406" width="10.5703125" style="353" customWidth="1"/>
    <col min="6407" max="6407" width="10.7109375" style="353" customWidth="1"/>
    <col min="6408" max="6413" width="11.42578125" style="353"/>
    <col min="6414" max="6414" width="13.7109375" style="353" customWidth="1"/>
    <col min="6415" max="6657" width="11.42578125" style="353"/>
    <col min="6658" max="6658" width="37.42578125" style="353" customWidth="1"/>
    <col min="6659" max="6661" width="11.7109375" style="353" customWidth="1"/>
    <col min="6662" max="6662" width="10.5703125" style="353" customWidth="1"/>
    <col min="6663" max="6663" width="10.7109375" style="353" customWidth="1"/>
    <col min="6664" max="6669" width="11.42578125" style="353"/>
    <col min="6670" max="6670" width="13.7109375" style="353" customWidth="1"/>
    <col min="6671" max="6913" width="11.42578125" style="353"/>
    <col min="6914" max="6914" width="37.42578125" style="353" customWidth="1"/>
    <col min="6915" max="6917" width="11.7109375" style="353" customWidth="1"/>
    <col min="6918" max="6918" width="10.5703125" style="353" customWidth="1"/>
    <col min="6919" max="6919" width="10.7109375" style="353" customWidth="1"/>
    <col min="6920" max="6925" width="11.42578125" style="353"/>
    <col min="6926" max="6926" width="13.7109375" style="353" customWidth="1"/>
    <col min="6927" max="7169" width="11.42578125" style="353"/>
    <col min="7170" max="7170" width="37.42578125" style="353" customWidth="1"/>
    <col min="7171" max="7173" width="11.7109375" style="353" customWidth="1"/>
    <col min="7174" max="7174" width="10.5703125" style="353" customWidth="1"/>
    <col min="7175" max="7175" width="10.7109375" style="353" customWidth="1"/>
    <col min="7176" max="7181" width="11.42578125" style="353"/>
    <col min="7182" max="7182" width="13.7109375" style="353" customWidth="1"/>
    <col min="7183" max="7425" width="11.42578125" style="353"/>
    <col min="7426" max="7426" width="37.42578125" style="353" customWidth="1"/>
    <col min="7427" max="7429" width="11.7109375" style="353" customWidth="1"/>
    <col min="7430" max="7430" width="10.5703125" style="353" customWidth="1"/>
    <col min="7431" max="7431" width="10.7109375" style="353" customWidth="1"/>
    <col min="7432" max="7437" width="11.42578125" style="353"/>
    <col min="7438" max="7438" width="13.7109375" style="353" customWidth="1"/>
    <col min="7439" max="7681" width="11.42578125" style="353"/>
    <col min="7682" max="7682" width="37.42578125" style="353" customWidth="1"/>
    <col min="7683" max="7685" width="11.7109375" style="353" customWidth="1"/>
    <col min="7686" max="7686" width="10.5703125" style="353" customWidth="1"/>
    <col min="7687" max="7687" width="10.7109375" style="353" customWidth="1"/>
    <col min="7688" max="7693" width="11.42578125" style="353"/>
    <col min="7694" max="7694" width="13.7109375" style="353" customWidth="1"/>
    <col min="7695" max="7937" width="11.42578125" style="353"/>
    <col min="7938" max="7938" width="37.42578125" style="353" customWidth="1"/>
    <col min="7939" max="7941" width="11.7109375" style="353" customWidth="1"/>
    <col min="7942" max="7942" width="10.5703125" style="353" customWidth="1"/>
    <col min="7943" max="7943" width="10.7109375" style="353" customWidth="1"/>
    <col min="7944" max="7949" width="11.42578125" style="353"/>
    <col min="7950" max="7950" width="13.7109375" style="353" customWidth="1"/>
    <col min="7951" max="8193" width="11.42578125" style="353"/>
    <col min="8194" max="8194" width="37.42578125" style="353" customWidth="1"/>
    <col min="8195" max="8197" width="11.7109375" style="353" customWidth="1"/>
    <col min="8198" max="8198" width="10.5703125" style="353" customWidth="1"/>
    <col min="8199" max="8199" width="10.7109375" style="353" customWidth="1"/>
    <col min="8200" max="8205" width="11.42578125" style="353"/>
    <col min="8206" max="8206" width="13.7109375" style="353" customWidth="1"/>
    <col min="8207" max="8449" width="11.42578125" style="353"/>
    <col min="8450" max="8450" width="37.42578125" style="353" customWidth="1"/>
    <col min="8451" max="8453" width="11.7109375" style="353" customWidth="1"/>
    <col min="8454" max="8454" width="10.5703125" style="353" customWidth="1"/>
    <col min="8455" max="8455" width="10.7109375" style="353" customWidth="1"/>
    <col min="8456" max="8461" width="11.42578125" style="353"/>
    <col min="8462" max="8462" width="13.7109375" style="353" customWidth="1"/>
    <col min="8463" max="8705" width="11.42578125" style="353"/>
    <col min="8706" max="8706" width="37.42578125" style="353" customWidth="1"/>
    <col min="8707" max="8709" width="11.7109375" style="353" customWidth="1"/>
    <col min="8710" max="8710" width="10.5703125" style="353" customWidth="1"/>
    <col min="8711" max="8711" width="10.7109375" style="353" customWidth="1"/>
    <col min="8712" max="8717" width="11.42578125" style="353"/>
    <col min="8718" max="8718" width="13.7109375" style="353" customWidth="1"/>
    <col min="8719" max="8961" width="11.42578125" style="353"/>
    <col min="8962" max="8962" width="37.42578125" style="353" customWidth="1"/>
    <col min="8963" max="8965" width="11.7109375" style="353" customWidth="1"/>
    <col min="8966" max="8966" width="10.5703125" style="353" customWidth="1"/>
    <col min="8967" max="8967" width="10.7109375" style="353" customWidth="1"/>
    <col min="8968" max="8973" width="11.42578125" style="353"/>
    <col min="8974" max="8974" width="13.7109375" style="353" customWidth="1"/>
    <col min="8975" max="9217" width="11.42578125" style="353"/>
    <col min="9218" max="9218" width="37.42578125" style="353" customWidth="1"/>
    <col min="9219" max="9221" width="11.7109375" style="353" customWidth="1"/>
    <col min="9222" max="9222" width="10.5703125" style="353" customWidth="1"/>
    <col min="9223" max="9223" width="10.7109375" style="353" customWidth="1"/>
    <col min="9224" max="9229" width="11.42578125" style="353"/>
    <col min="9230" max="9230" width="13.7109375" style="353" customWidth="1"/>
    <col min="9231" max="9473" width="11.42578125" style="353"/>
    <col min="9474" max="9474" width="37.42578125" style="353" customWidth="1"/>
    <col min="9475" max="9477" width="11.7109375" style="353" customWidth="1"/>
    <col min="9478" max="9478" width="10.5703125" style="353" customWidth="1"/>
    <col min="9479" max="9479" width="10.7109375" style="353" customWidth="1"/>
    <col min="9480" max="9485" width="11.42578125" style="353"/>
    <col min="9486" max="9486" width="13.7109375" style="353" customWidth="1"/>
    <col min="9487" max="9729" width="11.42578125" style="353"/>
    <col min="9730" max="9730" width="37.42578125" style="353" customWidth="1"/>
    <col min="9731" max="9733" width="11.7109375" style="353" customWidth="1"/>
    <col min="9734" max="9734" width="10.5703125" style="353" customWidth="1"/>
    <col min="9735" max="9735" width="10.7109375" style="353" customWidth="1"/>
    <col min="9736" max="9741" width="11.42578125" style="353"/>
    <col min="9742" max="9742" width="13.7109375" style="353" customWidth="1"/>
    <col min="9743" max="9985" width="11.42578125" style="353"/>
    <col min="9986" max="9986" width="37.42578125" style="353" customWidth="1"/>
    <col min="9987" max="9989" width="11.7109375" style="353" customWidth="1"/>
    <col min="9990" max="9990" width="10.5703125" style="353" customWidth="1"/>
    <col min="9991" max="9991" width="10.7109375" style="353" customWidth="1"/>
    <col min="9992" max="9997" width="11.42578125" style="353"/>
    <col min="9998" max="9998" width="13.7109375" style="353" customWidth="1"/>
    <col min="9999" max="10241" width="11.42578125" style="353"/>
    <col min="10242" max="10242" width="37.42578125" style="353" customWidth="1"/>
    <col min="10243" max="10245" width="11.7109375" style="353" customWidth="1"/>
    <col min="10246" max="10246" width="10.5703125" style="353" customWidth="1"/>
    <col min="10247" max="10247" width="10.7109375" style="353" customWidth="1"/>
    <col min="10248" max="10253" width="11.42578125" style="353"/>
    <col min="10254" max="10254" width="13.7109375" style="353" customWidth="1"/>
    <col min="10255" max="10497" width="11.42578125" style="353"/>
    <col min="10498" max="10498" width="37.42578125" style="353" customWidth="1"/>
    <col min="10499" max="10501" width="11.7109375" style="353" customWidth="1"/>
    <col min="10502" max="10502" width="10.5703125" style="353" customWidth="1"/>
    <col min="10503" max="10503" width="10.7109375" style="353" customWidth="1"/>
    <col min="10504" max="10509" width="11.42578125" style="353"/>
    <col min="10510" max="10510" width="13.7109375" style="353" customWidth="1"/>
    <col min="10511" max="10753" width="11.42578125" style="353"/>
    <col min="10754" max="10754" width="37.42578125" style="353" customWidth="1"/>
    <col min="10755" max="10757" width="11.7109375" style="353" customWidth="1"/>
    <col min="10758" max="10758" width="10.5703125" style="353" customWidth="1"/>
    <col min="10759" max="10759" width="10.7109375" style="353" customWidth="1"/>
    <col min="10760" max="10765" width="11.42578125" style="353"/>
    <col min="10766" max="10766" width="13.7109375" style="353" customWidth="1"/>
    <col min="10767" max="11009" width="11.42578125" style="353"/>
    <col min="11010" max="11010" width="37.42578125" style="353" customWidth="1"/>
    <col min="11011" max="11013" width="11.7109375" style="353" customWidth="1"/>
    <col min="11014" max="11014" width="10.5703125" style="353" customWidth="1"/>
    <col min="11015" max="11015" width="10.7109375" style="353" customWidth="1"/>
    <col min="11016" max="11021" width="11.42578125" style="353"/>
    <col min="11022" max="11022" width="13.7109375" style="353" customWidth="1"/>
    <col min="11023" max="11265" width="11.42578125" style="353"/>
    <col min="11266" max="11266" width="37.42578125" style="353" customWidth="1"/>
    <col min="11267" max="11269" width="11.7109375" style="353" customWidth="1"/>
    <col min="11270" max="11270" width="10.5703125" style="353" customWidth="1"/>
    <col min="11271" max="11271" width="10.7109375" style="353" customWidth="1"/>
    <col min="11272" max="11277" width="11.42578125" style="353"/>
    <col min="11278" max="11278" width="13.7109375" style="353" customWidth="1"/>
    <col min="11279" max="11521" width="11.42578125" style="353"/>
    <col min="11522" max="11522" width="37.42578125" style="353" customWidth="1"/>
    <col min="11523" max="11525" width="11.7109375" style="353" customWidth="1"/>
    <col min="11526" max="11526" width="10.5703125" style="353" customWidth="1"/>
    <col min="11527" max="11527" width="10.7109375" style="353" customWidth="1"/>
    <col min="11528" max="11533" width="11.42578125" style="353"/>
    <col min="11534" max="11534" width="13.7109375" style="353" customWidth="1"/>
    <col min="11535" max="11777" width="11.42578125" style="353"/>
    <col min="11778" max="11778" width="37.42578125" style="353" customWidth="1"/>
    <col min="11779" max="11781" width="11.7109375" style="353" customWidth="1"/>
    <col min="11782" max="11782" width="10.5703125" style="353" customWidth="1"/>
    <col min="11783" max="11783" width="10.7109375" style="353" customWidth="1"/>
    <col min="11784" max="11789" width="11.42578125" style="353"/>
    <col min="11790" max="11790" width="13.7109375" style="353" customWidth="1"/>
    <col min="11791" max="12033" width="11.42578125" style="353"/>
    <col min="12034" max="12034" width="37.42578125" style="353" customWidth="1"/>
    <col min="12035" max="12037" width="11.7109375" style="353" customWidth="1"/>
    <col min="12038" max="12038" width="10.5703125" style="353" customWidth="1"/>
    <col min="12039" max="12039" width="10.7109375" style="353" customWidth="1"/>
    <col min="12040" max="12045" width="11.42578125" style="353"/>
    <col min="12046" max="12046" width="13.7109375" style="353" customWidth="1"/>
    <col min="12047" max="12289" width="11.42578125" style="353"/>
    <col min="12290" max="12290" width="37.42578125" style="353" customWidth="1"/>
    <col min="12291" max="12293" width="11.7109375" style="353" customWidth="1"/>
    <col min="12294" max="12294" width="10.5703125" style="353" customWidth="1"/>
    <col min="12295" max="12295" width="10.7109375" style="353" customWidth="1"/>
    <col min="12296" max="12301" width="11.42578125" style="353"/>
    <col min="12302" max="12302" width="13.7109375" style="353" customWidth="1"/>
    <col min="12303" max="12545" width="11.42578125" style="353"/>
    <col min="12546" max="12546" width="37.42578125" style="353" customWidth="1"/>
    <col min="12547" max="12549" width="11.7109375" style="353" customWidth="1"/>
    <col min="12550" max="12550" width="10.5703125" style="353" customWidth="1"/>
    <col min="12551" max="12551" width="10.7109375" style="353" customWidth="1"/>
    <col min="12552" max="12557" width="11.42578125" style="353"/>
    <col min="12558" max="12558" width="13.7109375" style="353" customWidth="1"/>
    <col min="12559" max="12801" width="11.42578125" style="353"/>
    <col min="12802" max="12802" width="37.42578125" style="353" customWidth="1"/>
    <col min="12803" max="12805" width="11.7109375" style="353" customWidth="1"/>
    <col min="12806" max="12806" width="10.5703125" style="353" customWidth="1"/>
    <col min="12807" max="12807" width="10.7109375" style="353" customWidth="1"/>
    <col min="12808" max="12813" width="11.42578125" style="353"/>
    <col min="12814" max="12814" width="13.7109375" style="353" customWidth="1"/>
    <col min="12815" max="13057" width="11.42578125" style="353"/>
    <col min="13058" max="13058" width="37.42578125" style="353" customWidth="1"/>
    <col min="13059" max="13061" width="11.7109375" style="353" customWidth="1"/>
    <col min="13062" max="13062" width="10.5703125" style="353" customWidth="1"/>
    <col min="13063" max="13063" width="10.7109375" style="353" customWidth="1"/>
    <col min="13064" max="13069" width="11.42578125" style="353"/>
    <col min="13070" max="13070" width="13.7109375" style="353" customWidth="1"/>
    <col min="13071" max="13313" width="11.42578125" style="353"/>
    <col min="13314" max="13314" width="37.42578125" style="353" customWidth="1"/>
    <col min="13315" max="13317" width="11.7109375" style="353" customWidth="1"/>
    <col min="13318" max="13318" width="10.5703125" style="353" customWidth="1"/>
    <col min="13319" max="13319" width="10.7109375" style="353" customWidth="1"/>
    <col min="13320" max="13325" width="11.42578125" style="353"/>
    <col min="13326" max="13326" width="13.7109375" style="353" customWidth="1"/>
    <col min="13327" max="13569" width="11.42578125" style="353"/>
    <col min="13570" max="13570" width="37.42578125" style="353" customWidth="1"/>
    <col min="13571" max="13573" width="11.7109375" style="353" customWidth="1"/>
    <col min="13574" max="13574" width="10.5703125" style="353" customWidth="1"/>
    <col min="13575" max="13575" width="10.7109375" style="353" customWidth="1"/>
    <col min="13576" max="13581" width="11.42578125" style="353"/>
    <col min="13582" max="13582" width="13.7109375" style="353" customWidth="1"/>
    <col min="13583" max="13825" width="11.42578125" style="353"/>
    <col min="13826" max="13826" width="37.42578125" style="353" customWidth="1"/>
    <col min="13827" max="13829" width="11.7109375" style="353" customWidth="1"/>
    <col min="13830" max="13830" width="10.5703125" style="353" customWidth="1"/>
    <col min="13831" max="13831" width="10.7109375" style="353" customWidth="1"/>
    <col min="13832" max="13837" width="11.42578125" style="353"/>
    <col min="13838" max="13838" width="13.7109375" style="353" customWidth="1"/>
    <col min="13839" max="14081" width="11.42578125" style="353"/>
    <col min="14082" max="14082" width="37.42578125" style="353" customWidth="1"/>
    <col min="14083" max="14085" width="11.7109375" style="353" customWidth="1"/>
    <col min="14086" max="14086" width="10.5703125" style="353" customWidth="1"/>
    <col min="14087" max="14087" width="10.7109375" style="353" customWidth="1"/>
    <col min="14088" max="14093" width="11.42578125" style="353"/>
    <col min="14094" max="14094" width="13.7109375" style="353" customWidth="1"/>
    <col min="14095" max="14337" width="11.42578125" style="353"/>
    <col min="14338" max="14338" width="37.42578125" style="353" customWidth="1"/>
    <col min="14339" max="14341" width="11.7109375" style="353" customWidth="1"/>
    <col min="14342" max="14342" width="10.5703125" style="353" customWidth="1"/>
    <col min="14343" max="14343" width="10.7109375" style="353" customWidth="1"/>
    <col min="14344" max="14349" width="11.42578125" style="353"/>
    <col min="14350" max="14350" width="13.7109375" style="353" customWidth="1"/>
    <col min="14351" max="14593" width="11.42578125" style="353"/>
    <col min="14594" max="14594" width="37.42578125" style="353" customWidth="1"/>
    <col min="14595" max="14597" width="11.7109375" style="353" customWidth="1"/>
    <col min="14598" max="14598" width="10.5703125" style="353" customWidth="1"/>
    <col min="14599" max="14599" width="10.7109375" style="353" customWidth="1"/>
    <col min="14600" max="14605" width="11.42578125" style="353"/>
    <col min="14606" max="14606" width="13.7109375" style="353" customWidth="1"/>
    <col min="14607" max="14849" width="11.42578125" style="353"/>
    <col min="14850" max="14850" width="37.42578125" style="353" customWidth="1"/>
    <col min="14851" max="14853" width="11.7109375" style="353" customWidth="1"/>
    <col min="14854" max="14854" width="10.5703125" style="353" customWidth="1"/>
    <col min="14855" max="14855" width="10.7109375" style="353" customWidth="1"/>
    <col min="14856" max="14861" width="11.42578125" style="353"/>
    <col min="14862" max="14862" width="13.7109375" style="353" customWidth="1"/>
    <col min="14863" max="15105" width="11.42578125" style="353"/>
    <col min="15106" max="15106" width="37.42578125" style="353" customWidth="1"/>
    <col min="15107" max="15109" width="11.7109375" style="353" customWidth="1"/>
    <col min="15110" max="15110" width="10.5703125" style="353" customWidth="1"/>
    <col min="15111" max="15111" width="10.7109375" style="353" customWidth="1"/>
    <col min="15112" max="15117" width="11.42578125" style="353"/>
    <col min="15118" max="15118" width="13.7109375" style="353" customWidth="1"/>
    <col min="15119" max="15361" width="11.42578125" style="353"/>
    <col min="15362" max="15362" width="37.42578125" style="353" customWidth="1"/>
    <col min="15363" max="15365" width="11.7109375" style="353" customWidth="1"/>
    <col min="15366" max="15366" width="10.5703125" style="353" customWidth="1"/>
    <col min="15367" max="15367" width="10.7109375" style="353" customWidth="1"/>
    <col min="15368" max="15373" width="11.42578125" style="353"/>
    <col min="15374" max="15374" width="13.7109375" style="353" customWidth="1"/>
    <col min="15375" max="15617" width="11.42578125" style="353"/>
    <col min="15618" max="15618" width="37.42578125" style="353" customWidth="1"/>
    <col min="15619" max="15621" width="11.7109375" style="353" customWidth="1"/>
    <col min="15622" max="15622" width="10.5703125" style="353" customWidth="1"/>
    <col min="15623" max="15623" width="10.7109375" style="353" customWidth="1"/>
    <col min="15624" max="15629" width="11.42578125" style="353"/>
    <col min="15630" max="15630" width="13.7109375" style="353" customWidth="1"/>
    <col min="15631" max="15873" width="11.42578125" style="353"/>
    <col min="15874" max="15874" width="37.42578125" style="353" customWidth="1"/>
    <col min="15875" max="15877" width="11.7109375" style="353" customWidth="1"/>
    <col min="15878" max="15878" width="10.5703125" style="353" customWidth="1"/>
    <col min="15879" max="15879" width="10.7109375" style="353" customWidth="1"/>
    <col min="15880" max="15885" width="11.42578125" style="353"/>
    <col min="15886" max="15886" width="13.7109375" style="353" customWidth="1"/>
    <col min="15887" max="16129" width="11.42578125" style="353"/>
    <col min="16130" max="16130" width="37.42578125" style="353" customWidth="1"/>
    <col min="16131" max="16133" width="11.7109375" style="353" customWidth="1"/>
    <col min="16134" max="16134" width="10.5703125" style="353" customWidth="1"/>
    <col min="16135" max="16135" width="10.7109375" style="353" customWidth="1"/>
    <col min="16136" max="16141" width="11.42578125" style="353"/>
    <col min="16142" max="16142" width="13.7109375" style="353" customWidth="1"/>
    <col min="16143" max="16384" width="11.42578125" style="353"/>
  </cols>
  <sheetData>
    <row r="1" spans="2:6">
      <c r="C1" s="372"/>
      <c r="D1" s="371"/>
      <c r="E1" s="371"/>
      <c r="F1" s="371"/>
    </row>
    <row r="2" spans="2:6">
      <c r="C2" s="372"/>
      <c r="D2" s="371"/>
      <c r="E2" s="371"/>
      <c r="F2" s="371"/>
    </row>
    <row r="3" spans="2:6">
      <c r="C3" s="372"/>
      <c r="D3" s="371"/>
      <c r="E3" s="371"/>
      <c r="F3" s="371"/>
    </row>
    <row r="4" spans="2:6">
      <c r="B4" s="372"/>
      <c r="C4" s="371"/>
      <c r="D4" s="371"/>
      <c r="E4" s="371"/>
    </row>
    <row r="5" spans="2:6">
      <c r="B5" s="372"/>
      <c r="C5" s="371"/>
      <c r="D5" s="371"/>
      <c r="E5" s="371"/>
    </row>
    <row r="6" spans="2:6">
      <c r="B6" s="372"/>
      <c r="C6" s="371"/>
      <c r="D6" s="371"/>
      <c r="E6" s="371"/>
    </row>
    <row r="7" spans="2:6" ht="30" customHeight="1">
      <c r="B7" s="246" t="s">
        <v>270</v>
      </c>
      <c r="C7" s="247"/>
      <c r="D7" s="247"/>
      <c r="E7" s="248"/>
    </row>
    <row r="8" spans="2:6" ht="35.25" customHeight="1">
      <c r="B8" s="373" t="s">
        <v>238</v>
      </c>
      <c r="C8" s="223" t="str">
        <f>actualizaciones!A3</f>
        <v>acumulado julio 2009</v>
      </c>
      <c r="D8" s="223" t="str">
        <f>actualizaciones!A2</f>
        <v xml:space="preserve">acumulado julio 2010 </v>
      </c>
      <c r="E8" s="354" t="s">
        <v>262</v>
      </c>
    </row>
    <row r="9" spans="2:6" ht="15" customHeight="1">
      <c r="B9" s="374" t="s">
        <v>239</v>
      </c>
      <c r="C9" s="355"/>
      <c r="D9" s="356"/>
      <c r="E9" s="375"/>
    </row>
    <row r="10" spans="2:6">
      <c r="B10" s="376" t="s">
        <v>263</v>
      </c>
      <c r="C10" s="348">
        <f>'[1]tabla dinámica municipios'!$K$311*100</f>
        <v>55.615451674608849</v>
      </c>
      <c r="D10" s="348">
        <f>'[1]tabla dinámica municipios'!$U$311*100</f>
        <v>57.336689255463426</v>
      </c>
      <c r="E10" s="377">
        <f>D10/C10-1</f>
        <v>3.0948909503155209E-2</v>
      </c>
    </row>
    <row r="11" spans="2:6" ht="15" customHeight="1">
      <c r="B11" s="374" t="s">
        <v>241</v>
      </c>
      <c r="C11" s="378"/>
      <c r="D11" s="378"/>
      <c r="E11" s="379"/>
    </row>
    <row r="12" spans="2:6">
      <c r="B12" s="380" t="s">
        <v>242</v>
      </c>
      <c r="C12" s="350">
        <f>'[1]tabla dinámica municipios'!$J$311*100</f>
        <v>66.215013478371304</v>
      </c>
      <c r="D12" s="350">
        <f>'[1]tabla dinámica municipios'!$T$311*100</f>
        <v>69.815886269859277</v>
      </c>
      <c r="E12" s="361">
        <f>D12/C12-1</f>
        <v>5.4381515646208856E-2</v>
      </c>
    </row>
    <row r="13" spans="2:6">
      <c r="B13" s="380" t="s">
        <v>243</v>
      </c>
      <c r="C13" s="350">
        <f>'[1]tabla dinámica municipios'!$H$311*100</f>
        <v>60.808670061779935</v>
      </c>
      <c r="D13" s="350">
        <f>'[1]tabla dinámica municipios'!$R$311*100</f>
        <v>65.362406238641242</v>
      </c>
      <c r="E13" s="361">
        <f>D13/C13-1</f>
        <v>7.4886297829484416E-2</v>
      </c>
    </row>
    <row r="14" spans="2:6">
      <c r="B14" s="380" t="s">
        <v>244</v>
      </c>
      <c r="C14" s="350">
        <f>'[1]tabla dinámica municipios'!$F$311*100</f>
        <v>68.555698158423098</v>
      </c>
      <c r="D14" s="350">
        <f>'[1]tabla dinámica municipios'!$P$311*100</f>
        <v>72.957887808063489</v>
      </c>
      <c r="E14" s="361">
        <f>D14/C14-1</f>
        <v>6.4213329714293277E-2</v>
      </c>
    </row>
    <row r="15" spans="2:6">
      <c r="B15" s="380" t="s">
        <v>245</v>
      </c>
      <c r="C15" s="350">
        <f>'[1]tabla dinámica municipios'!$E$311*100</f>
        <v>62.37064566418772</v>
      </c>
      <c r="D15" s="350">
        <f>'[1]tabla dinámica municipios'!$O$311*100</f>
        <v>61.985202958174767</v>
      </c>
      <c r="E15" s="361">
        <f>D15/C15-1</f>
        <v>-6.179873591308116E-3</v>
      </c>
    </row>
    <row r="16" spans="2:6">
      <c r="B16" s="380" t="s">
        <v>246</v>
      </c>
      <c r="C16" s="350">
        <f>'[1]tabla dinámica municipios'!$C$311*100</f>
        <v>69.193095142513044</v>
      </c>
      <c r="D16" s="350">
        <f>'[1]tabla dinámica municipios'!$M$311*100</f>
        <v>69.971898835808915</v>
      </c>
      <c r="E16" s="361">
        <f>D16/C16-1</f>
        <v>1.1255511719656663E-2</v>
      </c>
    </row>
    <row r="17" spans="2:12" ht="15" customHeight="1">
      <c r="B17" s="374" t="s">
        <v>247</v>
      </c>
      <c r="C17" s="378"/>
      <c r="D17" s="378"/>
      <c r="E17" s="379"/>
    </row>
    <row r="18" spans="2:12">
      <c r="B18" s="381" t="s">
        <v>248</v>
      </c>
      <c r="C18" s="382">
        <f>'[1]tabla dinámica municipios'!$I$311*100</f>
        <v>44.204648752749911</v>
      </c>
      <c r="D18" s="382">
        <f>'[1]tabla dinámica municipios'!$S$311*100</f>
        <v>43.885093047549042</v>
      </c>
      <c r="E18" s="383">
        <f>D18/C18-1</f>
        <v>-7.2290067723022045E-3</v>
      </c>
    </row>
    <row r="19" spans="2:12" ht="22.5" customHeight="1">
      <c r="B19" s="384" t="s">
        <v>186</v>
      </c>
      <c r="C19" s="385"/>
      <c r="D19" s="385"/>
      <c r="E19" s="386"/>
    </row>
    <row r="20" spans="2:12" ht="15" customHeight="1" thickBot="1"/>
    <row r="21" spans="2:12" ht="30" customHeight="1" thickBot="1">
      <c r="E21" s="60" t="s">
        <v>49</v>
      </c>
    </row>
    <row r="29" spans="2:12">
      <c r="B29" s="339"/>
      <c r="C29" s="339"/>
      <c r="D29" s="339"/>
      <c r="E29" s="339"/>
      <c r="F29" s="339"/>
      <c r="G29" s="339"/>
      <c r="H29" s="339"/>
      <c r="I29" s="339"/>
      <c r="J29" s="339"/>
      <c r="K29" s="339"/>
      <c r="L29" s="339"/>
    </row>
  </sheetData>
  <mergeCells count="2">
    <mergeCell ref="B7:E7"/>
    <mergeCell ref="B19:E19"/>
  </mergeCells>
  <hyperlinks>
    <hyperlink ref="E21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>
      <selection activeCell="B25" sqref="B25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30" spans="2:12" ht="15" customHeight="1" thickBot="1"/>
    <row r="31" spans="2:12" ht="30" customHeight="1" thickBot="1">
      <c r="I31" s="60" t="s">
        <v>51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3:L73"/>
  <sheetViews>
    <sheetView showGridLines="0" showRowColHeaders="0" zoomScaleNormal="100" workbookViewId="0">
      <selection activeCell="B25" sqref="B25"/>
    </sheetView>
  </sheetViews>
  <sheetFormatPr baseColWidth="10" defaultRowHeight="12.75" outlineLevelRow="1"/>
  <cols>
    <col min="1" max="1" width="13.7109375" style="339" customWidth="1"/>
    <col min="2" max="2" width="12.140625" style="339" customWidth="1"/>
    <col min="3" max="18" width="11" style="339" customWidth="1"/>
    <col min="19" max="21" width="10.42578125" style="339" customWidth="1"/>
    <col min="22" max="25" width="9.28515625" style="339" customWidth="1"/>
    <col min="26" max="37" width="7.28515625" style="339" customWidth="1"/>
    <col min="38" max="38" width="11.5703125" style="339" bestFit="1" customWidth="1"/>
    <col min="39" max="258" width="11.42578125" style="339"/>
    <col min="259" max="259" width="13.7109375" style="339" customWidth="1"/>
    <col min="260" max="260" width="12.140625" style="339" customWidth="1"/>
    <col min="261" max="274" width="11" style="339" customWidth="1"/>
    <col min="275" max="277" width="10.42578125" style="339" customWidth="1"/>
    <col min="278" max="279" width="7.28515625" style="339" customWidth="1"/>
    <col min="280" max="280" width="7.85546875" style="339" bestFit="1" customWidth="1"/>
    <col min="281" max="293" width="7.28515625" style="339" customWidth="1"/>
    <col min="294" max="294" width="11.5703125" style="339" bestFit="1" customWidth="1"/>
    <col min="295" max="514" width="11.42578125" style="339"/>
    <col min="515" max="515" width="13.7109375" style="339" customWidth="1"/>
    <col min="516" max="516" width="12.140625" style="339" customWidth="1"/>
    <col min="517" max="530" width="11" style="339" customWidth="1"/>
    <col min="531" max="533" width="10.42578125" style="339" customWidth="1"/>
    <col min="534" max="535" width="7.28515625" style="339" customWidth="1"/>
    <col min="536" max="536" width="7.85546875" style="339" bestFit="1" customWidth="1"/>
    <col min="537" max="549" width="7.28515625" style="339" customWidth="1"/>
    <col min="550" max="550" width="11.5703125" style="339" bestFit="1" customWidth="1"/>
    <col min="551" max="770" width="11.42578125" style="339"/>
    <col min="771" max="771" width="13.7109375" style="339" customWidth="1"/>
    <col min="772" max="772" width="12.140625" style="339" customWidth="1"/>
    <col min="773" max="786" width="11" style="339" customWidth="1"/>
    <col min="787" max="789" width="10.42578125" style="339" customWidth="1"/>
    <col min="790" max="791" width="7.28515625" style="339" customWidth="1"/>
    <col min="792" max="792" width="7.85546875" style="339" bestFit="1" customWidth="1"/>
    <col min="793" max="805" width="7.28515625" style="339" customWidth="1"/>
    <col min="806" max="806" width="11.5703125" style="339" bestFit="1" customWidth="1"/>
    <col min="807" max="1026" width="11.42578125" style="339"/>
    <col min="1027" max="1027" width="13.7109375" style="339" customWidth="1"/>
    <col min="1028" max="1028" width="12.140625" style="339" customWidth="1"/>
    <col min="1029" max="1042" width="11" style="339" customWidth="1"/>
    <col min="1043" max="1045" width="10.42578125" style="339" customWidth="1"/>
    <col min="1046" max="1047" width="7.28515625" style="339" customWidth="1"/>
    <col min="1048" max="1048" width="7.85546875" style="339" bestFit="1" customWidth="1"/>
    <col min="1049" max="1061" width="7.28515625" style="339" customWidth="1"/>
    <col min="1062" max="1062" width="11.5703125" style="339" bestFit="1" customWidth="1"/>
    <col min="1063" max="1282" width="11.42578125" style="339"/>
    <col min="1283" max="1283" width="13.7109375" style="339" customWidth="1"/>
    <col min="1284" max="1284" width="12.140625" style="339" customWidth="1"/>
    <col min="1285" max="1298" width="11" style="339" customWidth="1"/>
    <col min="1299" max="1301" width="10.42578125" style="339" customWidth="1"/>
    <col min="1302" max="1303" width="7.28515625" style="339" customWidth="1"/>
    <col min="1304" max="1304" width="7.85546875" style="339" bestFit="1" customWidth="1"/>
    <col min="1305" max="1317" width="7.28515625" style="339" customWidth="1"/>
    <col min="1318" max="1318" width="11.5703125" style="339" bestFit="1" customWidth="1"/>
    <col min="1319" max="1538" width="11.42578125" style="339"/>
    <col min="1539" max="1539" width="13.7109375" style="339" customWidth="1"/>
    <col min="1540" max="1540" width="12.140625" style="339" customWidth="1"/>
    <col min="1541" max="1554" width="11" style="339" customWidth="1"/>
    <col min="1555" max="1557" width="10.42578125" style="339" customWidth="1"/>
    <col min="1558" max="1559" width="7.28515625" style="339" customWidth="1"/>
    <col min="1560" max="1560" width="7.85546875" style="339" bestFit="1" customWidth="1"/>
    <col min="1561" max="1573" width="7.28515625" style="339" customWidth="1"/>
    <col min="1574" max="1574" width="11.5703125" style="339" bestFit="1" customWidth="1"/>
    <col min="1575" max="1794" width="11.42578125" style="339"/>
    <col min="1795" max="1795" width="13.7109375" style="339" customWidth="1"/>
    <col min="1796" max="1796" width="12.140625" style="339" customWidth="1"/>
    <col min="1797" max="1810" width="11" style="339" customWidth="1"/>
    <col min="1811" max="1813" width="10.42578125" style="339" customWidth="1"/>
    <col min="1814" max="1815" width="7.28515625" style="339" customWidth="1"/>
    <col min="1816" max="1816" width="7.85546875" style="339" bestFit="1" customWidth="1"/>
    <col min="1817" max="1829" width="7.28515625" style="339" customWidth="1"/>
    <col min="1830" max="1830" width="11.5703125" style="339" bestFit="1" customWidth="1"/>
    <col min="1831" max="2050" width="11.42578125" style="339"/>
    <col min="2051" max="2051" width="13.7109375" style="339" customWidth="1"/>
    <col min="2052" max="2052" width="12.140625" style="339" customWidth="1"/>
    <col min="2053" max="2066" width="11" style="339" customWidth="1"/>
    <col min="2067" max="2069" width="10.42578125" style="339" customWidth="1"/>
    <col min="2070" max="2071" width="7.28515625" style="339" customWidth="1"/>
    <col min="2072" max="2072" width="7.85546875" style="339" bestFit="1" customWidth="1"/>
    <col min="2073" max="2085" width="7.28515625" style="339" customWidth="1"/>
    <col min="2086" max="2086" width="11.5703125" style="339" bestFit="1" customWidth="1"/>
    <col min="2087" max="2306" width="11.42578125" style="339"/>
    <col min="2307" max="2307" width="13.7109375" style="339" customWidth="1"/>
    <col min="2308" max="2308" width="12.140625" style="339" customWidth="1"/>
    <col min="2309" max="2322" width="11" style="339" customWidth="1"/>
    <col min="2323" max="2325" width="10.42578125" style="339" customWidth="1"/>
    <col min="2326" max="2327" width="7.28515625" style="339" customWidth="1"/>
    <col min="2328" max="2328" width="7.85546875" style="339" bestFit="1" customWidth="1"/>
    <col min="2329" max="2341" width="7.28515625" style="339" customWidth="1"/>
    <col min="2342" max="2342" width="11.5703125" style="339" bestFit="1" customWidth="1"/>
    <col min="2343" max="2562" width="11.42578125" style="339"/>
    <col min="2563" max="2563" width="13.7109375" style="339" customWidth="1"/>
    <col min="2564" max="2564" width="12.140625" style="339" customWidth="1"/>
    <col min="2565" max="2578" width="11" style="339" customWidth="1"/>
    <col min="2579" max="2581" width="10.42578125" style="339" customWidth="1"/>
    <col min="2582" max="2583" width="7.28515625" style="339" customWidth="1"/>
    <col min="2584" max="2584" width="7.85546875" style="339" bestFit="1" customWidth="1"/>
    <col min="2585" max="2597" width="7.28515625" style="339" customWidth="1"/>
    <col min="2598" max="2598" width="11.5703125" style="339" bestFit="1" customWidth="1"/>
    <col min="2599" max="2818" width="11.42578125" style="339"/>
    <col min="2819" max="2819" width="13.7109375" style="339" customWidth="1"/>
    <col min="2820" max="2820" width="12.140625" style="339" customWidth="1"/>
    <col min="2821" max="2834" width="11" style="339" customWidth="1"/>
    <col min="2835" max="2837" width="10.42578125" style="339" customWidth="1"/>
    <col min="2838" max="2839" width="7.28515625" style="339" customWidth="1"/>
    <col min="2840" max="2840" width="7.85546875" style="339" bestFit="1" customWidth="1"/>
    <col min="2841" max="2853" width="7.28515625" style="339" customWidth="1"/>
    <col min="2854" max="2854" width="11.5703125" style="339" bestFit="1" customWidth="1"/>
    <col min="2855" max="3074" width="11.42578125" style="339"/>
    <col min="3075" max="3075" width="13.7109375" style="339" customWidth="1"/>
    <col min="3076" max="3076" width="12.140625" style="339" customWidth="1"/>
    <col min="3077" max="3090" width="11" style="339" customWidth="1"/>
    <col min="3091" max="3093" width="10.42578125" style="339" customWidth="1"/>
    <col min="3094" max="3095" width="7.28515625" style="339" customWidth="1"/>
    <col min="3096" max="3096" width="7.85546875" style="339" bestFit="1" customWidth="1"/>
    <col min="3097" max="3109" width="7.28515625" style="339" customWidth="1"/>
    <col min="3110" max="3110" width="11.5703125" style="339" bestFit="1" customWidth="1"/>
    <col min="3111" max="3330" width="11.42578125" style="339"/>
    <col min="3331" max="3331" width="13.7109375" style="339" customWidth="1"/>
    <col min="3332" max="3332" width="12.140625" style="339" customWidth="1"/>
    <col min="3333" max="3346" width="11" style="339" customWidth="1"/>
    <col min="3347" max="3349" width="10.42578125" style="339" customWidth="1"/>
    <col min="3350" max="3351" width="7.28515625" style="339" customWidth="1"/>
    <col min="3352" max="3352" width="7.85546875" style="339" bestFit="1" customWidth="1"/>
    <col min="3353" max="3365" width="7.28515625" style="339" customWidth="1"/>
    <col min="3366" max="3366" width="11.5703125" style="339" bestFit="1" customWidth="1"/>
    <col min="3367" max="3586" width="11.42578125" style="339"/>
    <col min="3587" max="3587" width="13.7109375" style="339" customWidth="1"/>
    <col min="3588" max="3588" width="12.140625" style="339" customWidth="1"/>
    <col min="3589" max="3602" width="11" style="339" customWidth="1"/>
    <col min="3603" max="3605" width="10.42578125" style="339" customWidth="1"/>
    <col min="3606" max="3607" width="7.28515625" style="339" customWidth="1"/>
    <col min="3608" max="3608" width="7.85546875" style="339" bestFit="1" customWidth="1"/>
    <col min="3609" max="3621" width="7.28515625" style="339" customWidth="1"/>
    <col min="3622" max="3622" width="11.5703125" style="339" bestFit="1" customWidth="1"/>
    <col min="3623" max="3842" width="11.42578125" style="339"/>
    <col min="3843" max="3843" width="13.7109375" style="339" customWidth="1"/>
    <col min="3844" max="3844" width="12.140625" style="339" customWidth="1"/>
    <col min="3845" max="3858" width="11" style="339" customWidth="1"/>
    <col min="3859" max="3861" width="10.42578125" style="339" customWidth="1"/>
    <col min="3862" max="3863" width="7.28515625" style="339" customWidth="1"/>
    <col min="3864" max="3864" width="7.85546875" style="339" bestFit="1" customWidth="1"/>
    <col min="3865" max="3877" width="7.28515625" style="339" customWidth="1"/>
    <col min="3878" max="3878" width="11.5703125" style="339" bestFit="1" customWidth="1"/>
    <col min="3879" max="4098" width="11.42578125" style="339"/>
    <col min="4099" max="4099" width="13.7109375" style="339" customWidth="1"/>
    <col min="4100" max="4100" width="12.140625" style="339" customWidth="1"/>
    <col min="4101" max="4114" width="11" style="339" customWidth="1"/>
    <col min="4115" max="4117" width="10.42578125" style="339" customWidth="1"/>
    <col min="4118" max="4119" width="7.28515625" style="339" customWidth="1"/>
    <col min="4120" max="4120" width="7.85546875" style="339" bestFit="1" customWidth="1"/>
    <col min="4121" max="4133" width="7.28515625" style="339" customWidth="1"/>
    <col min="4134" max="4134" width="11.5703125" style="339" bestFit="1" customWidth="1"/>
    <col min="4135" max="4354" width="11.42578125" style="339"/>
    <col min="4355" max="4355" width="13.7109375" style="339" customWidth="1"/>
    <col min="4356" max="4356" width="12.140625" style="339" customWidth="1"/>
    <col min="4357" max="4370" width="11" style="339" customWidth="1"/>
    <col min="4371" max="4373" width="10.42578125" style="339" customWidth="1"/>
    <col min="4374" max="4375" width="7.28515625" style="339" customWidth="1"/>
    <col min="4376" max="4376" width="7.85546875" style="339" bestFit="1" customWidth="1"/>
    <col min="4377" max="4389" width="7.28515625" style="339" customWidth="1"/>
    <col min="4390" max="4390" width="11.5703125" style="339" bestFit="1" customWidth="1"/>
    <col min="4391" max="4610" width="11.42578125" style="339"/>
    <col min="4611" max="4611" width="13.7109375" style="339" customWidth="1"/>
    <col min="4612" max="4612" width="12.140625" style="339" customWidth="1"/>
    <col min="4613" max="4626" width="11" style="339" customWidth="1"/>
    <col min="4627" max="4629" width="10.42578125" style="339" customWidth="1"/>
    <col min="4630" max="4631" width="7.28515625" style="339" customWidth="1"/>
    <col min="4632" max="4632" width="7.85546875" style="339" bestFit="1" customWidth="1"/>
    <col min="4633" max="4645" width="7.28515625" style="339" customWidth="1"/>
    <col min="4646" max="4646" width="11.5703125" style="339" bestFit="1" customWidth="1"/>
    <col min="4647" max="4866" width="11.42578125" style="339"/>
    <col min="4867" max="4867" width="13.7109375" style="339" customWidth="1"/>
    <col min="4868" max="4868" width="12.140625" style="339" customWidth="1"/>
    <col min="4869" max="4882" width="11" style="339" customWidth="1"/>
    <col min="4883" max="4885" width="10.42578125" style="339" customWidth="1"/>
    <col min="4886" max="4887" width="7.28515625" style="339" customWidth="1"/>
    <col min="4888" max="4888" width="7.85546875" style="339" bestFit="1" customWidth="1"/>
    <col min="4889" max="4901" width="7.28515625" style="339" customWidth="1"/>
    <col min="4902" max="4902" width="11.5703125" style="339" bestFit="1" customWidth="1"/>
    <col min="4903" max="5122" width="11.42578125" style="339"/>
    <col min="5123" max="5123" width="13.7109375" style="339" customWidth="1"/>
    <col min="5124" max="5124" width="12.140625" style="339" customWidth="1"/>
    <col min="5125" max="5138" width="11" style="339" customWidth="1"/>
    <col min="5139" max="5141" width="10.42578125" style="339" customWidth="1"/>
    <col min="5142" max="5143" width="7.28515625" style="339" customWidth="1"/>
    <col min="5144" max="5144" width="7.85546875" style="339" bestFit="1" customWidth="1"/>
    <col min="5145" max="5157" width="7.28515625" style="339" customWidth="1"/>
    <col min="5158" max="5158" width="11.5703125" style="339" bestFit="1" customWidth="1"/>
    <col min="5159" max="5378" width="11.42578125" style="339"/>
    <col min="5379" max="5379" width="13.7109375" style="339" customWidth="1"/>
    <col min="5380" max="5380" width="12.140625" style="339" customWidth="1"/>
    <col min="5381" max="5394" width="11" style="339" customWidth="1"/>
    <col min="5395" max="5397" width="10.42578125" style="339" customWidth="1"/>
    <col min="5398" max="5399" width="7.28515625" style="339" customWidth="1"/>
    <col min="5400" max="5400" width="7.85546875" style="339" bestFit="1" customWidth="1"/>
    <col min="5401" max="5413" width="7.28515625" style="339" customWidth="1"/>
    <col min="5414" max="5414" width="11.5703125" style="339" bestFit="1" customWidth="1"/>
    <col min="5415" max="5634" width="11.42578125" style="339"/>
    <col min="5635" max="5635" width="13.7109375" style="339" customWidth="1"/>
    <col min="5636" max="5636" width="12.140625" style="339" customWidth="1"/>
    <col min="5637" max="5650" width="11" style="339" customWidth="1"/>
    <col min="5651" max="5653" width="10.42578125" style="339" customWidth="1"/>
    <col min="5654" max="5655" width="7.28515625" style="339" customWidth="1"/>
    <col min="5656" max="5656" width="7.85546875" style="339" bestFit="1" customWidth="1"/>
    <col min="5657" max="5669" width="7.28515625" style="339" customWidth="1"/>
    <col min="5670" max="5670" width="11.5703125" style="339" bestFit="1" customWidth="1"/>
    <col min="5671" max="5890" width="11.42578125" style="339"/>
    <col min="5891" max="5891" width="13.7109375" style="339" customWidth="1"/>
    <col min="5892" max="5892" width="12.140625" style="339" customWidth="1"/>
    <col min="5893" max="5906" width="11" style="339" customWidth="1"/>
    <col min="5907" max="5909" width="10.42578125" style="339" customWidth="1"/>
    <col min="5910" max="5911" width="7.28515625" style="339" customWidth="1"/>
    <col min="5912" max="5912" width="7.85546875" style="339" bestFit="1" customWidth="1"/>
    <col min="5913" max="5925" width="7.28515625" style="339" customWidth="1"/>
    <col min="5926" max="5926" width="11.5703125" style="339" bestFit="1" customWidth="1"/>
    <col min="5927" max="6146" width="11.42578125" style="339"/>
    <col min="6147" max="6147" width="13.7109375" style="339" customWidth="1"/>
    <col min="6148" max="6148" width="12.140625" style="339" customWidth="1"/>
    <col min="6149" max="6162" width="11" style="339" customWidth="1"/>
    <col min="6163" max="6165" width="10.42578125" style="339" customWidth="1"/>
    <col min="6166" max="6167" width="7.28515625" style="339" customWidth="1"/>
    <col min="6168" max="6168" width="7.85546875" style="339" bestFit="1" customWidth="1"/>
    <col min="6169" max="6181" width="7.28515625" style="339" customWidth="1"/>
    <col min="6182" max="6182" width="11.5703125" style="339" bestFit="1" customWidth="1"/>
    <col min="6183" max="6402" width="11.42578125" style="339"/>
    <col min="6403" max="6403" width="13.7109375" style="339" customWidth="1"/>
    <col min="6404" max="6404" width="12.140625" style="339" customWidth="1"/>
    <col min="6405" max="6418" width="11" style="339" customWidth="1"/>
    <col min="6419" max="6421" width="10.42578125" style="339" customWidth="1"/>
    <col min="6422" max="6423" width="7.28515625" style="339" customWidth="1"/>
    <col min="6424" max="6424" width="7.85546875" style="339" bestFit="1" customWidth="1"/>
    <col min="6425" max="6437" width="7.28515625" style="339" customWidth="1"/>
    <col min="6438" max="6438" width="11.5703125" style="339" bestFit="1" customWidth="1"/>
    <col min="6439" max="6658" width="11.42578125" style="339"/>
    <col min="6659" max="6659" width="13.7109375" style="339" customWidth="1"/>
    <col min="6660" max="6660" width="12.140625" style="339" customWidth="1"/>
    <col min="6661" max="6674" width="11" style="339" customWidth="1"/>
    <col min="6675" max="6677" width="10.42578125" style="339" customWidth="1"/>
    <col min="6678" max="6679" width="7.28515625" style="339" customWidth="1"/>
    <col min="6680" max="6680" width="7.85546875" style="339" bestFit="1" customWidth="1"/>
    <col min="6681" max="6693" width="7.28515625" style="339" customWidth="1"/>
    <col min="6694" max="6694" width="11.5703125" style="339" bestFit="1" customWidth="1"/>
    <col min="6695" max="6914" width="11.42578125" style="339"/>
    <col min="6915" max="6915" width="13.7109375" style="339" customWidth="1"/>
    <col min="6916" max="6916" width="12.140625" style="339" customWidth="1"/>
    <col min="6917" max="6930" width="11" style="339" customWidth="1"/>
    <col min="6931" max="6933" width="10.42578125" style="339" customWidth="1"/>
    <col min="6934" max="6935" width="7.28515625" style="339" customWidth="1"/>
    <col min="6936" max="6936" width="7.85546875" style="339" bestFit="1" customWidth="1"/>
    <col min="6937" max="6949" width="7.28515625" style="339" customWidth="1"/>
    <col min="6950" max="6950" width="11.5703125" style="339" bestFit="1" customWidth="1"/>
    <col min="6951" max="7170" width="11.42578125" style="339"/>
    <col min="7171" max="7171" width="13.7109375" style="339" customWidth="1"/>
    <col min="7172" max="7172" width="12.140625" style="339" customWidth="1"/>
    <col min="7173" max="7186" width="11" style="339" customWidth="1"/>
    <col min="7187" max="7189" width="10.42578125" style="339" customWidth="1"/>
    <col min="7190" max="7191" width="7.28515625" style="339" customWidth="1"/>
    <col min="7192" max="7192" width="7.85546875" style="339" bestFit="1" customWidth="1"/>
    <col min="7193" max="7205" width="7.28515625" style="339" customWidth="1"/>
    <col min="7206" max="7206" width="11.5703125" style="339" bestFit="1" customWidth="1"/>
    <col min="7207" max="7426" width="11.42578125" style="339"/>
    <col min="7427" max="7427" width="13.7109375" style="339" customWidth="1"/>
    <col min="7428" max="7428" width="12.140625" style="339" customWidth="1"/>
    <col min="7429" max="7442" width="11" style="339" customWidth="1"/>
    <col min="7443" max="7445" width="10.42578125" style="339" customWidth="1"/>
    <col min="7446" max="7447" width="7.28515625" style="339" customWidth="1"/>
    <col min="7448" max="7448" width="7.85546875" style="339" bestFit="1" customWidth="1"/>
    <col min="7449" max="7461" width="7.28515625" style="339" customWidth="1"/>
    <col min="7462" max="7462" width="11.5703125" style="339" bestFit="1" customWidth="1"/>
    <col min="7463" max="7682" width="11.42578125" style="339"/>
    <col min="7683" max="7683" width="13.7109375" style="339" customWidth="1"/>
    <col min="7684" max="7684" width="12.140625" style="339" customWidth="1"/>
    <col min="7685" max="7698" width="11" style="339" customWidth="1"/>
    <col min="7699" max="7701" width="10.42578125" style="339" customWidth="1"/>
    <col min="7702" max="7703" width="7.28515625" style="339" customWidth="1"/>
    <col min="7704" max="7704" width="7.85546875" style="339" bestFit="1" customWidth="1"/>
    <col min="7705" max="7717" width="7.28515625" style="339" customWidth="1"/>
    <col min="7718" max="7718" width="11.5703125" style="339" bestFit="1" customWidth="1"/>
    <col min="7719" max="7938" width="11.42578125" style="339"/>
    <col min="7939" max="7939" width="13.7109375" style="339" customWidth="1"/>
    <col min="7940" max="7940" width="12.140625" style="339" customWidth="1"/>
    <col min="7941" max="7954" width="11" style="339" customWidth="1"/>
    <col min="7955" max="7957" width="10.42578125" style="339" customWidth="1"/>
    <col min="7958" max="7959" width="7.28515625" style="339" customWidth="1"/>
    <col min="7960" max="7960" width="7.85546875" style="339" bestFit="1" customWidth="1"/>
    <col min="7961" max="7973" width="7.28515625" style="339" customWidth="1"/>
    <col min="7974" max="7974" width="11.5703125" style="339" bestFit="1" customWidth="1"/>
    <col min="7975" max="8194" width="11.42578125" style="339"/>
    <col min="8195" max="8195" width="13.7109375" style="339" customWidth="1"/>
    <col min="8196" max="8196" width="12.140625" style="339" customWidth="1"/>
    <col min="8197" max="8210" width="11" style="339" customWidth="1"/>
    <col min="8211" max="8213" width="10.42578125" style="339" customWidth="1"/>
    <col min="8214" max="8215" width="7.28515625" style="339" customWidth="1"/>
    <col min="8216" max="8216" width="7.85546875" style="339" bestFit="1" customWidth="1"/>
    <col min="8217" max="8229" width="7.28515625" style="339" customWidth="1"/>
    <col min="8230" max="8230" width="11.5703125" style="339" bestFit="1" customWidth="1"/>
    <col min="8231" max="8450" width="11.42578125" style="339"/>
    <col min="8451" max="8451" width="13.7109375" style="339" customWidth="1"/>
    <col min="8452" max="8452" width="12.140625" style="339" customWidth="1"/>
    <col min="8453" max="8466" width="11" style="339" customWidth="1"/>
    <col min="8467" max="8469" width="10.42578125" style="339" customWidth="1"/>
    <col min="8470" max="8471" width="7.28515625" style="339" customWidth="1"/>
    <col min="8472" max="8472" width="7.85546875" style="339" bestFit="1" customWidth="1"/>
    <col min="8473" max="8485" width="7.28515625" style="339" customWidth="1"/>
    <col min="8486" max="8486" width="11.5703125" style="339" bestFit="1" customWidth="1"/>
    <col min="8487" max="8706" width="11.42578125" style="339"/>
    <col min="8707" max="8707" width="13.7109375" style="339" customWidth="1"/>
    <col min="8708" max="8708" width="12.140625" style="339" customWidth="1"/>
    <col min="8709" max="8722" width="11" style="339" customWidth="1"/>
    <col min="8723" max="8725" width="10.42578125" style="339" customWidth="1"/>
    <col min="8726" max="8727" width="7.28515625" style="339" customWidth="1"/>
    <col min="8728" max="8728" width="7.85546875" style="339" bestFit="1" customWidth="1"/>
    <col min="8729" max="8741" width="7.28515625" style="339" customWidth="1"/>
    <col min="8742" max="8742" width="11.5703125" style="339" bestFit="1" customWidth="1"/>
    <col min="8743" max="8962" width="11.42578125" style="339"/>
    <col min="8963" max="8963" width="13.7109375" style="339" customWidth="1"/>
    <col min="8964" max="8964" width="12.140625" style="339" customWidth="1"/>
    <col min="8965" max="8978" width="11" style="339" customWidth="1"/>
    <col min="8979" max="8981" width="10.42578125" style="339" customWidth="1"/>
    <col min="8982" max="8983" width="7.28515625" style="339" customWidth="1"/>
    <col min="8984" max="8984" width="7.85546875" style="339" bestFit="1" customWidth="1"/>
    <col min="8985" max="8997" width="7.28515625" style="339" customWidth="1"/>
    <col min="8998" max="8998" width="11.5703125" style="339" bestFit="1" customWidth="1"/>
    <col min="8999" max="9218" width="11.42578125" style="339"/>
    <col min="9219" max="9219" width="13.7109375" style="339" customWidth="1"/>
    <col min="9220" max="9220" width="12.140625" style="339" customWidth="1"/>
    <col min="9221" max="9234" width="11" style="339" customWidth="1"/>
    <col min="9235" max="9237" width="10.42578125" style="339" customWidth="1"/>
    <col min="9238" max="9239" width="7.28515625" style="339" customWidth="1"/>
    <col min="9240" max="9240" width="7.85546875" style="339" bestFit="1" customWidth="1"/>
    <col min="9241" max="9253" width="7.28515625" style="339" customWidth="1"/>
    <col min="9254" max="9254" width="11.5703125" style="339" bestFit="1" customWidth="1"/>
    <col min="9255" max="9474" width="11.42578125" style="339"/>
    <col min="9475" max="9475" width="13.7109375" style="339" customWidth="1"/>
    <col min="9476" max="9476" width="12.140625" style="339" customWidth="1"/>
    <col min="9477" max="9490" width="11" style="339" customWidth="1"/>
    <col min="9491" max="9493" width="10.42578125" style="339" customWidth="1"/>
    <col min="9494" max="9495" width="7.28515625" style="339" customWidth="1"/>
    <col min="9496" max="9496" width="7.85546875" style="339" bestFit="1" customWidth="1"/>
    <col min="9497" max="9509" width="7.28515625" style="339" customWidth="1"/>
    <col min="9510" max="9510" width="11.5703125" style="339" bestFit="1" customWidth="1"/>
    <col min="9511" max="9730" width="11.42578125" style="339"/>
    <col min="9731" max="9731" width="13.7109375" style="339" customWidth="1"/>
    <col min="9732" max="9732" width="12.140625" style="339" customWidth="1"/>
    <col min="9733" max="9746" width="11" style="339" customWidth="1"/>
    <col min="9747" max="9749" width="10.42578125" style="339" customWidth="1"/>
    <col min="9750" max="9751" width="7.28515625" style="339" customWidth="1"/>
    <col min="9752" max="9752" width="7.85546875" style="339" bestFit="1" customWidth="1"/>
    <col min="9753" max="9765" width="7.28515625" style="339" customWidth="1"/>
    <col min="9766" max="9766" width="11.5703125" style="339" bestFit="1" customWidth="1"/>
    <col min="9767" max="9986" width="11.42578125" style="339"/>
    <col min="9987" max="9987" width="13.7109375" style="339" customWidth="1"/>
    <col min="9988" max="9988" width="12.140625" style="339" customWidth="1"/>
    <col min="9989" max="10002" width="11" style="339" customWidth="1"/>
    <col min="10003" max="10005" width="10.42578125" style="339" customWidth="1"/>
    <col min="10006" max="10007" width="7.28515625" style="339" customWidth="1"/>
    <col min="10008" max="10008" width="7.85546875" style="339" bestFit="1" customWidth="1"/>
    <col min="10009" max="10021" width="7.28515625" style="339" customWidth="1"/>
    <col min="10022" max="10022" width="11.5703125" style="339" bestFit="1" customWidth="1"/>
    <col min="10023" max="10242" width="11.42578125" style="339"/>
    <col min="10243" max="10243" width="13.7109375" style="339" customWidth="1"/>
    <col min="10244" max="10244" width="12.140625" style="339" customWidth="1"/>
    <col min="10245" max="10258" width="11" style="339" customWidth="1"/>
    <col min="10259" max="10261" width="10.42578125" style="339" customWidth="1"/>
    <col min="10262" max="10263" width="7.28515625" style="339" customWidth="1"/>
    <col min="10264" max="10264" width="7.85546875" style="339" bestFit="1" customWidth="1"/>
    <col min="10265" max="10277" width="7.28515625" style="339" customWidth="1"/>
    <col min="10278" max="10278" width="11.5703125" style="339" bestFit="1" customWidth="1"/>
    <col min="10279" max="10498" width="11.42578125" style="339"/>
    <col min="10499" max="10499" width="13.7109375" style="339" customWidth="1"/>
    <col min="10500" max="10500" width="12.140625" style="339" customWidth="1"/>
    <col min="10501" max="10514" width="11" style="339" customWidth="1"/>
    <col min="10515" max="10517" width="10.42578125" style="339" customWidth="1"/>
    <col min="10518" max="10519" width="7.28515625" style="339" customWidth="1"/>
    <col min="10520" max="10520" width="7.85546875" style="339" bestFit="1" customWidth="1"/>
    <col min="10521" max="10533" width="7.28515625" style="339" customWidth="1"/>
    <col min="10534" max="10534" width="11.5703125" style="339" bestFit="1" customWidth="1"/>
    <col min="10535" max="10754" width="11.42578125" style="339"/>
    <col min="10755" max="10755" width="13.7109375" style="339" customWidth="1"/>
    <col min="10756" max="10756" width="12.140625" style="339" customWidth="1"/>
    <col min="10757" max="10770" width="11" style="339" customWidth="1"/>
    <col min="10771" max="10773" width="10.42578125" style="339" customWidth="1"/>
    <col min="10774" max="10775" width="7.28515625" style="339" customWidth="1"/>
    <col min="10776" max="10776" width="7.85546875" style="339" bestFit="1" customWidth="1"/>
    <col min="10777" max="10789" width="7.28515625" style="339" customWidth="1"/>
    <col min="10790" max="10790" width="11.5703125" style="339" bestFit="1" customWidth="1"/>
    <col min="10791" max="11010" width="11.42578125" style="339"/>
    <col min="11011" max="11011" width="13.7109375" style="339" customWidth="1"/>
    <col min="11012" max="11012" width="12.140625" style="339" customWidth="1"/>
    <col min="11013" max="11026" width="11" style="339" customWidth="1"/>
    <col min="11027" max="11029" width="10.42578125" style="339" customWidth="1"/>
    <col min="11030" max="11031" width="7.28515625" style="339" customWidth="1"/>
    <col min="11032" max="11032" width="7.85546875" style="339" bestFit="1" customWidth="1"/>
    <col min="11033" max="11045" width="7.28515625" style="339" customWidth="1"/>
    <col min="11046" max="11046" width="11.5703125" style="339" bestFit="1" customWidth="1"/>
    <col min="11047" max="11266" width="11.42578125" style="339"/>
    <col min="11267" max="11267" width="13.7109375" style="339" customWidth="1"/>
    <col min="11268" max="11268" width="12.140625" style="339" customWidth="1"/>
    <col min="11269" max="11282" width="11" style="339" customWidth="1"/>
    <col min="11283" max="11285" width="10.42578125" style="339" customWidth="1"/>
    <col min="11286" max="11287" width="7.28515625" style="339" customWidth="1"/>
    <col min="11288" max="11288" width="7.85546875" style="339" bestFit="1" customWidth="1"/>
    <col min="11289" max="11301" width="7.28515625" style="339" customWidth="1"/>
    <col min="11302" max="11302" width="11.5703125" style="339" bestFit="1" customWidth="1"/>
    <col min="11303" max="11522" width="11.42578125" style="339"/>
    <col min="11523" max="11523" width="13.7109375" style="339" customWidth="1"/>
    <col min="11524" max="11524" width="12.140625" style="339" customWidth="1"/>
    <col min="11525" max="11538" width="11" style="339" customWidth="1"/>
    <col min="11539" max="11541" width="10.42578125" style="339" customWidth="1"/>
    <col min="11542" max="11543" width="7.28515625" style="339" customWidth="1"/>
    <col min="11544" max="11544" width="7.85546875" style="339" bestFit="1" customWidth="1"/>
    <col min="11545" max="11557" width="7.28515625" style="339" customWidth="1"/>
    <col min="11558" max="11558" width="11.5703125" style="339" bestFit="1" customWidth="1"/>
    <col min="11559" max="11778" width="11.42578125" style="339"/>
    <col min="11779" max="11779" width="13.7109375" style="339" customWidth="1"/>
    <col min="11780" max="11780" width="12.140625" style="339" customWidth="1"/>
    <col min="11781" max="11794" width="11" style="339" customWidth="1"/>
    <col min="11795" max="11797" width="10.42578125" style="339" customWidth="1"/>
    <col min="11798" max="11799" width="7.28515625" style="339" customWidth="1"/>
    <col min="11800" max="11800" width="7.85546875" style="339" bestFit="1" customWidth="1"/>
    <col min="11801" max="11813" width="7.28515625" style="339" customWidth="1"/>
    <col min="11814" max="11814" width="11.5703125" style="339" bestFit="1" customWidth="1"/>
    <col min="11815" max="12034" width="11.42578125" style="339"/>
    <col min="12035" max="12035" width="13.7109375" style="339" customWidth="1"/>
    <col min="12036" max="12036" width="12.140625" style="339" customWidth="1"/>
    <col min="12037" max="12050" width="11" style="339" customWidth="1"/>
    <col min="12051" max="12053" width="10.42578125" style="339" customWidth="1"/>
    <col min="12054" max="12055" width="7.28515625" style="339" customWidth="1"/>
    <col min="12056" max="12056" width="7.85546875" style="339" bestFit="1" customWidth="1"/>
    <col min="12057" max="12069" width="7.28515625" style="339" customWidth="1"/>
    <col min="12070" max="12070" width="11.5703125" style="339" bestFit="1" customWidth="1"/>
    <col min="12071" max="12290" width="11.42578125" style="339"/>
    <col min="12291" max="12291" width="13.7109375" style="339" customWidth="1"/>
    <col min="12292" max="12292" width="12.140625" style="339" customWidth="1"/>
    <col min="12293" max="12306" width="11" style="339" customWidth="1"/>
    <col min="12307" max="12309" width="10.42578125" style="339" customWidth="1"/>
    <col min="12310" max="12311" width="7.28515625" style="339" customWidth="1"/>
    <col min="12312" max="12312" width="7.85546875" style="339" bestFit="1" customWidth="1"/>
    <col min="12313" max="12325" width="7.28515625" style="339" customWidth="1"/>
    <col min="12326" max="12326" width="11.5703125" style="339" bestFit="1" customWidth="1"/>
    <col min="12327" max="12546" width="11.42578125" style="339"/>
    <col min="12547" max="12547" width="13.7109375" style="339" customWidth="1"/>
    <col min="12548" max="12548" width="12.140625" style="339" customWidth="1"/>
    <col min="12549" max="12562" width="11" style="339" customWidth="1"/>
    <col min="12563" max="12565" width="10.42578125" style="339" customWidth="1"/>
    <col min="12566" max="12567" width="7.28515625" style="339" customWidth="1"/>
    <col min="12568" max="12568" width="7.85546875" style="339" bestFit="1" customWidth="1"/>
    <col min="12569" max="12581" width="7.28515625" style="339" customWidth="1"/>
    <col min="12582" max="12582" width="11.5703125" style="339" bestFit="1" customWidth="1"/>
    <col min="12583" max="12802" width="11.42578125" style="339"/>
    <col min="12803" max="12803" width="13.7109375" style="339" customWidth="1"/>
    <col min="12804" max="12804" width="12.140625" style="339" customWidth="1"/>
    <col min="12805" max="12818" width="11" style="339" customWidth="1"/>
    <col min="12819" max="12821" width="10.42578125" style="339" customWidth="1"/>
    <col min="12822" max="12823" width="7.28515625" style="339" customWidth="1"/>
    <col min="12824" max="12824" width="7.85546875" style="339" bestFit="1" customWidth="1"/>
    <col min="12825" max="12837" width="7.28515625" style="339" customWidth="1"/>
    <col min="12838" max="12838" width="11.5703125" style="339" bestFit="1" customWidth="1"/>
    <col min="12839" max="13058" width="11.42578125" style="339"/>
    <col min="13059" max="13059" width="13.7109375" style="339" customWidth="1"/>
    <col min="13060" max="13060" width="12.140625" style="339" customWidth="1"/>
    <col min="13061" max="13074" width="11" style="339" customWidth="1"/>
    <col min="13075" max="13077" width="10.42578125" style="339" customWidth="1"/>
    <col min="13078" max="13079" width="7.28515625" style="339" customWidth="1"/>
    <col min="13080" max="13080" width="7.85546875" style="339" bestFit="1" customWidth="1"/>
    <col min="13081" max="13093" width="7.28515625" style="339" customWidth="1"/>
    <col min="13094" max="13094" width="11.5703125" style="339" bestFit="1" customWidth="1"/>
    <col min="13095" max="13314" width="11.42578125" style="339"/>
    <col min="13315" max="13315" width="13.7109375" style="339" customWidth="1"/>
    <col min="13316" max="13316" width="12.140625" style="339" customWidth="1"/>
    <col min="13317" max="13330" width="11" style="339" customWidth="1"/>
    <col min="13331" max="13333" width="10.42578125" style="339" customWidth="1"/>
    <col min="13334" max="13335" width="7.28515625" style="339" customWidth="1"/>
    <col min="13336" max="13336" width="7.85546875" style="339" bestFit="1" customWidth="1"/>
    <col min="13337" max="13349" width="7.28515625" style="339" customWidth="1"/>
    <col min="13350" max="13350" width="11.5703125" style="339" bestFit="1" customWidth="1"/>
    <col min="13351" max="13570" width="11.42578125" style="339"/>
    <col min="13571" max="13571" width="13.7109375" style="339" customWidth="1"/>
    <col min="13572" max="13572" width="12.140625" style="339" customWidth="1"/>
    <col min="13573" max="13586" width="11" style="339" customWidth="1"/>
    <col min="13587" max="13589" width="10.42578125" style="339" customWidth="1"/>
    <col min="13590" max="13591" width="7.28515625" style="339" customWidth="1"/>
    <col min="13592" max="13592" width="7.85546875" style="339" bestFit="1" customWidth="1"/>
    <col min="13593" max="13605" width="7.28515625" style="339" customWidth="1"/>
    <col min="13606" max="13606" width="11.5703125" style="339" bestFit="1" customWidth="1"/>
    <col min="13607" max="13826" width="11.42578125" style="339"/>
    <col min="13827" max="13827" width="13.7109375" style="339" customWidth="1"/>
    <col min="13828" max="13828" width="12.140625" style="339" customWidth="1"/>
    <col min="13829" max="13842" width="11" style="339" customWidth="1"/>
    <col min="13843" max="13845" width="10.42578125" style="339" customWidth="1"/>
    <col min="13846" max="13847" width="7.28515625" style="339" customWidth="1"/>
    <col min="13848" max="13848" width="7.85546875" style="339" bestFit="1" customWidth="1"/>
    <col min="13849" max="13861" width="7.28515625" style="339" customWidth="1"/>
    <col min="13862" max="13862" width="11.5703125" style="339" bestFit="1" customWidth="1"/>
    <col min="13863" max="14082" width="11.42578125" style="339"/>
    <col min="14083" max="14083" width="13.7109375" style="339" customWidth="1"/>
    <col min="14084" max="14084" width="12.140625" style="339" customWidth="1"/>
    <col min="14085" max="14098" width="11" style="339" customWidth="1"/>
    <col min="14099" max="14101" width="10.42578125" style="339" customWidth="1"/>
    <col min="14102" max="14103" width="7.28515625" style="339" customWidth="1"/>
    <col min="14104" max="14104" width="7.85546875" style="339" bestFit="1" customWidth="1"/>
    <col min="14105" max="14117" width="7.28515625" style="339" customWidth="1"/>
    <col min="14118" max="14118" width="11.5703125" style="339" bestFit="1" customWidth="1"/>
    <col min="14119" max="14338" width="11.42578125" style="339"/>
    <col min="14339" max="14339" width="13.7109375" style="339" customWidth="1"/>
    <col min="14340" max="14340" width="12.140625" style="339" customWidth="1"/>
    <col min="14341" max="14354" width="11" style="339" customWidth="1"/>
    <col min="14355" max="14357" width="10.42578125" style="339" customWidth="1"/>
    <col min="14358" max="14359" width="7.28515625" style="339" customWidth="1"/>
    <col min="14360" max="14360" width="7.85546875" style="339" bestFit="1" customWidth="1"/>
    <col min="14361" max="14373" width="7.28515625" style="339" customWidth="1"/>
    <col min="14374" max="14374" width="11.5703125" style="339" bestFit="1" customWidth="1"/>
    <col min="14375" max="14594" width="11.42578125" style="339"/>
    <col min="14595" max="14595" width="13.7109375" style="339" customWidth="1"/>
    <col min="14596" max="14596" width="12.140625" style="339" customWidth="1"/>
    <col min="14597" max="14610" width="11" style="339" customWidth="1"/>
    <col min="14611" max="14613" width="10.42578125" style="339" customWidth="1"/>
    <col min="14614" max="14615" width="7.28515625" style="339" customWidth="1"/>
    <col min="14616" max="14616" width="7.85546875" style="339" bestFit="1" customWidth="1"/>
    <col min="14617" max="14629" width="7.28515625" style="339" customWidth="1"/>
    <col min="14630" max="14630" width="11.5703125" style="339" bestFit="1" customWidth="1"/>
    <col min="14631" max="14850" width="11.42578125" style="339"/>
    <col min="14851" max="14851" width="13.7109375" style="339" customWidth="1"/>
    <col min="14852" max="14852" width="12.140625" style="339" customWidth="1"/>
    <col min="14853" max="14866" width="11" style="339" customWidth="1"/>
    <col min="14867" max="14869" width="10.42578125" style="339" customWidth="1"/>
    <col min="14870" max="14871" width="7.28515625" style="339" customWidth="1"/>
    <col min="14872" max="14872" width="7.85546875" style="339" bestFit="1" customWidth="1"/>
    <col min="14873" max="14885" width="7.28515625" style="339" customWidth="1"/>
    <col min="14886" max="14886" width="11.5703125" style="339" bestFit="1" customWidth="1"/>
    <col min="14887" max="15106" width="11.42578125" style="339"/>
    <col min="15107" max="15107" width="13.7109375" style="339" customWidth="1"/>
    <col min="15108" max="15108" width="12.140625" style="339" customWidth="1"/>
    <col min="15109" max="15122" width="11" style="339" customWidth="1"/>
    <col min="15123" max="15125" width="10.42578125" style="339" customWidth="1"/>
    <col min="15126" max="15127" width="7.28515625" style="339" customWidth="1"/>
    <col min="15128" max="15128" width="7.85546875" style="339" bestFit="1" customWidth="1"/>
    <col min="15129" max="15141" width="7.28515625" style="339" customWidth="1"/>
    <col min="15142" max="15142" width="11.5703125" style="339" bestFit="1" customWidth="1"/>
    <col min="15143" max="15362" width="11.42578125" style="339"/>
    <col min="15363" max="15363" width="13.7109375" style="339" customWidth="1"/>
    <col min="15364" max="15364" width="12.140625" style="339" customWidth="1"/>
    <col min="15365" max="15378" width="11" style="339" customWidth="1"/>
    <col min="15379" max="15381" width="10.42578125" style="339" customWidth="1"/>
    <col min="15382" max="15383" width="7.28515625" style="339" customWidth="1"/>
    <col min="15384" max="15384" width="7.85546875" style="339" bestFit="1" customWidth="1"/>
    <col min="15385" max="15397" width="7.28515625" style="339" customWidth="1"/>
    <col min="15398" max="15398" width="11.5703125" style="339" bestFit="1" customWidth="1"/>
    <col min="15399" max="15618" width="11.42578125" style="339"/>
    <col min="15619" max="15619" width="13.7109375" style="339" customWidth="1"/>
    <col min="15620" max="15620" width="12.140625" style="339" customWidth="1"/>
    <col min="15621" max="15634" width="11" style="339" customWidth="1"/>
    <col min="15635" max="15637" width="10.42578125" style="339" customWidth="1"/>
    <col min="15638" max="15639" width="7.28515625" style="339" customWidth="1"/>
    <col min="15640" max="15640" width="7.85546875" style="339" bestFit="1" customWidth="1"/>
    <col min="15641" max="15653" width="7.28515625" style="339" customWidth="1"/>
    <col min="15654" max="15654" width="11.5703125" style="339" bestFit="1" customWidth="1"/>
    <col min="15655" max="15874" width="11.42578125" style="339"/>
    <col min="15875" max="15875" width="13.7109375" style="339" customWidth="1"/>
    <col min="15876" max="15876" width="12.140625" style="339" customWidth="1"/>
    <col min="15877" max="15890" width="11" style="339" customWidth="1"/>
    <col min="15891" max="15893" width="10.42578125" style="339" customWidth="1"/>
    <col min="15894" max="15895" width="7.28515625" style="339" customWidth="1"/>
    <col min="15896" max="15896" width="7.85546875" style="339" bestFit="1" customWidth="1"/>
    <col min="15897" max="15909" width="7.28515625" style="339" customWidth="1"/>
    <col min="15910" max="15910" width="11.5703125" style="339" bestFit="1" customWidth="1"/>
    <col min="15911" max="16130" width="11.42578125" style="339"/>
    <col min="16131" max="16131" width="13.7109375" style="339" customWidth="1"/>
    <col min="16132" max="16132" width="12.140625" style="339" customWidth="1"/>
    <col min="16133" max="16146" width="11" style="339" customWidth="1"/>
    <col min="16147" max="16149" width="10.42578125" style="339" customWidth="1"/>
    <col min="16150" max="16151" width="7.28515625" style="339" customWidth="1"/>
    <col min="16152" max="16152" width="7.85546875" style="339" bestFit="1" customWidth="1"/>
    <col min="16153" max="16165" width="7.28515625" style="339" customWidth="1"/>
    <col min="16166" max="16166" width="11.5703125" style="339" bestFit="1" customWidth="1"/>
    <col min="16167" max="16384" width="11.42578125" style="339"/>
  </cols>
  <sheetData>
    <row r="3" spans="2:12">
      <c r="B3" s="338"/>
    </row>
    <row r="4" spans="2:12">
      <c r="B4" s="338"/>
    </row>
    <row r="5" spans="2:12">
      <c r="B5" s="338"/>
    </row>
    <row r="6" spans="2:12" ht="27.75" customHeight="1" thickBot="1">
      <c r="B6" s="220" t="s">
        <v>271</v>
      </c>
      <c r="C6" s="221"/>
      <c r="D6" s="221"/>
      <c r="E6" s="221"/>
      <c r="F6" s="221"/>
    </row>
    <row r="7" spans="2:12" ht="36.75" thickBot="1">
      <c r="B7" s="303"/>
      <c r="C7" s="304" t="s">
        <v>272</v>
      </c>
      <c r="D7" s="304" t="s">
        <v>201</v>
      </c>
      <c r="E7" s="304" t="s">
        <v>202</v>
      </c>
      <c r="F7" s="304" t="s">
        <v>203</v>
      </c>
      <c r="H7" s="60" t="s">
        <v>49</v>
      </c>
    </row>
    <row r="8" spans="2:12" ht="15" hidden="1">
      <c r="B8" s="305" t="s">
        <v>204</v>
      </c>
      <c r="C8" s="387">
        <f>GETPIVOTDATA("dato",'[1]tabla dinámica IO men'!$A$96,"categoría","TOTAL","mes",12,"año",2010)</f>
        <v>0</v>
      </c>
      <c r="D8" s="39" t="str">
        <f t="shared" ref="D8:D18" si="0">IFERROR((C8-C9)/C9,"-")</f>
        <v>-</v>
      </c>
      <c r="E8" s="40">
        <f>C8/C21-1</f>
        <v>-1</v>
      </c>
      <c r="F8" s="388">
        <f>((SUM(C8:C19)/SUM(C21:C32))-1)</f>
        <v>-0.41168749320572717</v>
      </c>
    </row>
    <row r="9" spans="2:12" ht="15" hidden="1">
      <c r="B9" s="305" t="s">
        <v>205</v>
      </c>
      <c r="C9" s="387">
        <f>GETPIVOTDATA("dato",'[1]tabla dinámica IO men'!$A$96,"categoría","TOTAL","mes",11,"año",2010)</f>
        <v>0</v>
      </c>
      <c r="D9" s="39" t="str">
        <f t="shared" si="0"/>
        <v>-</v>
      </c>
      <c r="E9" s="40">
        <f t="shared" ref="E9:E59" si="1">C9/C22-1</f>
        <v>-1</v>
      </c>
      <c r="F9" s="388">
        <f>((SUM(C9:C19,C21)/SUM(C22:C32,C34))-1)</f>
        <v>-0.33434661138483868</v>
      </c>
    </row>
    <row r="10" spans="2:12" ht="15" hidden="1">
      <c r="B10" s="305" t="s">
        <v>206</v>
      </c>
      <c r="C10" s="387">
        <f>GETPIVOTDATA("dato",'[1]tabla dinámica IO men'!$A$96,"categoría","TOTAL","mes",10,"año",2010)</f>
        <v>0</v>
      </c>
      <c r="D10" s="39" t="str">
        <f t="shared" si="0"/>
        <v>-</v>
      </c>
      <c r="E10" s="40">
        <f t="shared" si="1"/>
        <v>-1</v>
      </c>
      <c r="F10" s="388">
        <f>((SUM(C10:C19,C21:C22)/SUM(C23:C32,C34:C35))-1)</f>
        <v>-0.25350288903581741</v>
      </c>
    </row>
    <row r="11" spans="2:12" ht="15" hidden="1">
      <c r="B11" s="305" t="s">
        <v>207</v>
      </c>
      <c r="C11" s="387">
        <f>GETPIVOTDATA("dato",'[1]tabla dinámica IO men'!$A$96,"categoría","TOTAL","mes",9,"año",2010)</f>
        <v>0</v>
      </c>
      <c r="D11" s="39" t="str">
        <f t="shared" si="0"/>
        <v>-</v>
      </c>
      <c r="E11" s="40">
        <f t="shared" si="1"/>
        <v>-1</v>
      </c>
      <c r="F11" s="388">
        <f>((SUM(C11:C19,C21:C23)/SUM(C24:C32,C34:C36))-1)</f>
        <v>-0.1834553079400455</v>
      </c>
      <c r="H11" s="12"/>
    </row>
    <row r="12" spans="2:12" ht="15" hidden="1">
      <c r="B12" s="305" t="s">
        <v>208</v>
      </c>
      <c r="C12" s="387">
        <f>GETPIVOTDATA("dato",'[1]tabla dinámica IO men'!$A$96,"categoría","TOTAL","mes",8,"año",2010)</f>
        <v>0</v>
      </c>
      <c r="D12" s="39">
        <f t="shared" si="0"/>
        <v>-1</v>
      </c>
      <c r="E12" s="40">
        <f t="shared" si="1"/>
        <v>-1</v>
      </c>
      <c r="F12" s="388">
        <f>((SUM(C12:C19,C21:C24)/SUM(C25:C32,C34:C37))-1)</f>
        <v>-0.11236197397964676</v>
      </c>
      <c r="G12" s="12"/>
      <c r="H12" s="12"/>
      <c r="I12" s="12"/>
      <c r="J12" s="12"/>
      <c r="K12" s="12"/>
      <c r="L12" s="12"/>
    </row>
    <row r="13" spans="2:12" ht="15">
      <c r="B13" s="305" t="s">
        <v>209</v>
      </c>
      <c r="C13" s="387">
        <f>GETPIVOTDATA("dato",'[1]tabla dinámica IO men'!$A$96,"categoría","TOTAL","mes",7,"año",2010)</f>
        <v>67.123647350193707</v>
      </c>
      <c r="D13" s="39">
        <f t="shared" si="0"/>
        <v>0.28160078245510278</v>
      </c>
      <c r="E13" s="40">
        <f t="shared" si="1"/>
        <v>9.6075234327134273E-2</v>
      </c>
      <c r="F13" s="388">
        <f>((SUM(C13:C19,C21:C25)/SUM(C26:C32,C34:C38))-1)</f>
        <v>-2.4661250515514488E-2</v>
      </c>
      <c r="G13" s="12"/>
      <c r="H13" s="12"/>
      <c r="I13" s="12"/>
      <c r="J13" s="12"/>
      <c r="K13" s="12"/>
      <c r="L13" s="12"/>
    </row>
    <row r="14" spans="2:12" ht="15">
      <c r="B14" s="305" t="s">
        <v>210</v>
      </c>
      <c r="C14" s="387">
        <f>GETPIVOTDATA("dato",'[1]tabla dinámica IO men'!$A$96,"categoría","TOTAL","mes",6,"año",2010)</f>
        <v>52.37484891481423</v>
      </c>
      <c r="D14" s="39">
        <f t="shared" si="0"/>
        <v>8.1163578464822486E-2</v>
      </c>
      <c r="E14" s="40">
        <f t="shared" si="1"/>
        <v>6.2154692517966126E-2</v>
      </c>
      <c r="F14" s="388">
        <f>((SUM(C14:C19,C21:C26)/SUM(C27:C32,C34:C39))-1)</f>
        <v>-4.8056134375359938E-2</v>
      </c>
      <c r="G14" s="12"/>
      <c r="H14" s="12"/>
      <c r="I14" s="12"/>
      <c r="J14" s="12"/>
      <c r="K14" s="12"/>
      <c r="L14" s="12"/>
    </row>
    <row r="15" spans="2:12" ht="15">
      <c r="B15" s="305" t="s">
        <v>211</v>
      </c>
      <c r="C15" s="387">
        <f>GETPIVOTDATA("dato",'[1]tabla dinámica IO men'!$A$96,"categoría","TOTAL","mes",5,"año",2010)</f>
        <v>48.443038554057559</v>
      </c>
      <c r="D15" s="39">
        <f t="shared" si="0"/>
        <v>-0.13140492551903243</v>
      </c>
      <c r="E15" s="40">
        <f t="shared" si="1"/>
        <v>9.0813748121088889E-2</v>
      </c>
      <c r="F15" s="388">
        <f>((SUM(C15:C19,C21:C27)/SUM(C28:C32,C34:C40))-1)</f>
        <v>-6.6067507194460973E-2</v>
      </c>
      <c r="G15" s="12"/>
      <c r="H15" s="12"/>
      <c r="I15" s="12"/>
      <c r="J15" s="12"/>
      <c r="K15" s="12"/>
      <c r="L15" s="12"/>
    </row>
    <row r="16" spans="2:12" ht="15">
      <c r="B16" s="305" t="s">
        <v>212</v>
      </c>
      <c r="C16" s="387">
        <f>GETPIVOTDATA("dato",'[1]tabla dinámica IO men'!$A$96,"categoría","TOTAL","mes",4,"año",2010)</f>
        <v>55.771716853224028</v>
      </c>
      <c r="D16" s="39">
        <f t="shared" si="0"/>
        <v>-3.6527670520886249E-2</v>
      </c>
      <c r="E16" s="40">
        <f t="shared" si="1"/>
        <v>-4.5498430163541936E-3</v>
      </c>
      <c r="F16" s="388">
        <f>((SUM(C16:C19,C21:C28)/SUM(C29:C32,C34:C41))-1)</f>
        <v>-8.7497011486686982E-2</v>
      </c>
      <c r="G16" s="12"/>
      <c r="H16" s="12"/>
      <c r="I16" s="12"/>
      <c r="J16" s="12"/>
      <c r="K16" s="12"/>
      <c r="L16" s="12"/>
    </row>
    <row r="17" spans="2:12" ht="15">
      <c r="B17" s="305" t="s">
        <v>213</v>
      </c>
      <c r="C17" s="387">
        <f>GETPIVOTDATA("dato",'[1]tabla dinámica IO men'!$A$96,"categoría","TOTAL","mes",3,"año",2010)</f>
        <v>57.886163563593087</v>
      </c>
      <c r="D17" s="39">
        <f t="shared" si="0"/>
        <v>-4.9176025565159591E-2</v>
      </c>
      <c r="E17" s="40">
        <f t="shared" si="1"/>
        <v>1.5190521985146921E-2</v>
      </c>
      <c r="F17" s="388">
        <f>((SUM(C17:C19,C21:C29)/SUM(C30:C32,C34:C42))-1)</f>
        <v>-9.7920737861602047E-2</v>
      </c>
      <c r="G17" s="12"/>
      <c r="I17" s="12"/>
      <c r="J17" s="12"/>
      <c r="K17" s="12"/>
      <c r="L17" s="12"/>
    </row>
    <row r="18" spans="2:12" ht="15">
      <c r="B18" s="305" t="s">
        <v>214</v>
      </c>
      <c r="C18" s="387">
        <f>GETPIVOTDATA("dato",'[1]tabla dinámica IO men'!$A$96,"categoría","TOTAL","mes",2,"año",2010)</f>
        <v>60.88</v>
      </c>
      <c r="D18" s="39">
        <f t="shared" si="0"/>
        <v>2.9944171882930182E-2</v>
      </c>
      <c r="E18" s="40">
        <f t="shared" si="1"/>
        <v>7.1133167907362349E-3</v>
      </c>
      <c r="F18" s="388">
        <f>((SUM(C18:C19,C21:C30)/SUM(C31:C32,C34:C43))-1)</f>
        <v>-0.11664430430750672</v>
      </c>
    </row>
    <row r="19" spans="2:12" ht="15">
      <c r="B19" s="305" t="s">
        <v>215</v>
      </c>
      <c r="C19" s="387">
        <f>GETPIVOTDATA("dato",'[1]tabla dinámica IO men'!$A$96,"categoría","TOTAL","mes",1,"año",2010)</f>
        <v>59.11</v>
      </c>
      <c r="D19" s="39" t="s">
        <v>216</v>
      </c>
      <c r="E19" s="40">
        <f t="shared" si="1"/>
        <v>-3.4150326797385722E-2</v>
      </c>
      <c r="F19" s="388">
        <f>((SUM(C19,C21:C31)/SUM(C32,C34:C44))-1)</f>
        <v>-0.12937708035761242</v>
      </c>
    </row>
    <row r="20" spans="2:12" ht="30">
      <c r="B20" s="69" t="s">
        <v>54</v>
      </c>
      <c r="C20" s="389">
        <f>'[1]tabla dinámica municipios'!$U$311*100</f>
        <v>57.336689255463426</v>
      </c>
      <c r="D20" s="341"/>
      <c r="E20" s="390">
        <f>'[1]tabla dinámica municipios'!$U$311/'[1]tabla dinámica municipios'!$K$311-1</f>
        <v>3.0948909503155209E-2</v>
      </c>
      <c r="F20" s="390" t="s">
        <v>216</v>
      </c>
    </row>
    <row r="21" spans="2:12" ht="15" hidden="1" outlineLevel="1">
      <c r="B21" s="305" t="s">
        <v>204</v>
      </c>
      <c r="C21" s="387">
        <f>GETPIVOTDATA("dato",'[1]tabla dinámica IO men'!$A$96,"categoría","TOTAL","mes",12,"año",2009)</f>
        <v>55.501833903122694</v>
      </c>
      <c r="D21" s="39">
        <f t="shared" ref="D21:D31" si="2">IFERROR((C21-C22)/C22,"-")</f>
        <v>-5.4771049970847384E-2</v>
      </c>
      <c r="E21" s="40">
        <f t="shared" si="1"/>
        <v>-6.8292195683688162E-2</v>
      </c>
      <c r="F21" s="388">
        <f>((SUM(C21:C32)/SUM(C34:C45))-1)</f>
        <v>-0.1355506805059552</v>
      </c>
    </row>
    <row r="22" spans="2:12" ht="15" hidden="1" outlineLevel="1">
      <c r="B22" s="305" t="s">
        <v>205</v>
      </c>
      <c r="C22" s="387">
        <f>GETPIVOTDATA("dato",'[1]tabla dinámica IO men'!$A$96,"categoría","TOTAL","mes",11,"año",2009)</f>
        <v>58.71787348600666</v>
      </c>
      <c r="D22" s="39">
        <f t="shared" si="2"/>
        <v>7.3137674225795507E-2</v>
      </c>
      <c r="E22" s="40">
        <f t="shared" si="1"/>
        <v>-6.8118179876104357E-2</v>
      </c>
      <c r="F22" s="388">
        <f>((SUM(C22:C32,C34)/SUM(C35:C45,C47))-1)</f>
        <v>-0.13582691982815509</v>
      </c>
    </row>
    <row r="23" spans="2:12" ht="15" hidden="1" outlineLevel="1">
      <c r="B23" s="305" t="s">
        <v>206</v>
      </c>
      <c r="C23" s="387">
        <f>GETPIVOTDATA("dato",'[1]tabla dinámica IO men'!$A$96,"categoría","TOTAL","mes",10,"año",2009)</f>
        <v>54.716067561758173</v>
      </c>
      <c r="D23" s="39">
        <f t="shared" si="2"/>
        <v>5.071042648019386E-3</v>
      </c>
      <c r="E23" s="40">
        <f t="shared" si="1"/>
        <v>-0.12384199260595408</v>
      </c>
      <c r="F23" s="388">
        <f>((SUM(C23:C32,C34:C35)/SUM(C36:C45,C47:C48))-1)</f>
        <v>-0.13567910318555121</v>
      </c>
    </row>
    <row r="24" spans="2:12" ht="15" hidden="1" outlineLevel="1">
      <c r="B24" s="305" t="s">
        <v>207</v>
      </c>
      <c r="C24" s="387">
        <f>GETPIVOTDATA("dato",'[1]tabla dinámica IO men'!$A$96,"categoría","TOTAL","mes",9,"año",2009)</f>
        <v>54.44</v>
      </c>
      <c r="D24" s="39">
        <f t="shared" si="2"/>
        <v>-0.21759126185685543</v>
      </c>
      <c r="E24" s="40">
        <f t="shared" si="1"/>
        <v>-8.9784317003845593E-2</v>
      </c>
      <c r="F24" s="388">
        <f>((SUM(C24:C32,C34:C36)/SUM(C37:C45,C47:C49))-1)</f>
        <v>-0.12903364390368621</v>
      </c>
    </row>
    <row r="25" spans="2:12" ht="15" hidden="1" outlineLevel="1">
      <c r="B25" s="305" t="s">
        <v>208</v>
      </c>
      <c r="C25" s="387">
        <f>GETPIVOTDATA("dato",'[1]tabla dinámica IO men'!$A$96,"categoría","TOTAL","mes",8,"año",2009)</f>
        <v>69.58</v>
      </c>
      <c r="D25" s="39">
        <f t="shared" si="2"/>
        <v>0.13618549967341601</v>
      </c>
      <c r="E25" s="40">
        <f t="shared" si="1"/>
        <v>-0.10346604818966632</v>
      </c>
      <c r="F25" s="388">
        <f>((SUM(C25:C32,C34:C37)/SUM(C38:C45,C47:C50))-1)</f>
        <v>-0.1236069728054161</v>
      </c>
    </row>
    <row r="26" spans="2:12" ht="15" hidden="1" outlineLevel="1">
      <c r="B26" s="305" t="s">
        <v>209</v>
      </c>
      <c r="C26" s="387">
        <f>GETPIVOTDATA("dato",'[1]tabla dinámica IO men'!$A$96,"categoría","TOTAL","mes",7,"año",2009)</f>
        <v>61.24</v>
      </c>
      <c r="D26" s="39">
        <f t="shared" si="2"/>
        <v>0.2419387304695762</v>
      </c>
      <c r="E26" s="40">
        <f t="shared" si="1"/>
        <v>-0.1560088202866593</v>
      </c>
      <c r="F26" s="388">
        <f>((SUM(C26:C32,C34:C38)/SUM(C39:C45,C47:C51))-1)</f>
        <v>-0.11368892876024028</v>
      </c>
    </row>
    <row r="27" spans="2:12" ht="15" hidden="1" outlineLevel="1">
      <c r="B27" s="305" t="s">
        <v>210</v>
      </c>
      <c r="C27" s="387">
        <f>GETPIVOTDATA("dato",'[1]tabla dinámica IO men'!$A$96,"categoría","TOTAL","mes",6,"año",2009)</f>
        <v>49.310000966670231</v>
      </c>
      <c r="D27" s="39">
        <f t="shared" si="2"/>
        <v>0.11033553178721536</v>
      </c>
      <c r="E27" s="40">
        <f t="shared" si="1"/>
        <v>-0.17789261476041629</v>
      </c>
      <c r="F27" s="388">
        <f>((SUM(C27:C32,C34:C39)/SUM(C40:C45,C47:C52))-1)</f>
        <v>-9.3336721158560065E-2</v>
      </c>
    </row>
    <row r="28" spans="2:12" ht="15" hidden="1" outlineLevel="1">
      <c r="B28" s="305" t="s">
        <v>211</v>
      </c>
      <c r="C28" s="387">
        <f>GETPIVOTDATA("dato",'[1]tabla dinámica IO men'!$A$96,"categoría","TOTAL","mes",5,"año",2009)</f>
        <v>44.41</v>
      </c>
      <c r="D28" s="39">
        <f t="shared" si="2"/>
        <v>-0.20734121224944588</v>
      </c>
      <c r="E28" s="40">
        <f t="shared" si="1"/>
        <v>-0.22400838720950556</v>
      </c>
      <c r="F28" s="388">
        <f>((SUM(C28:C32,C34:C40)/SUM(C41:C45,C47:C53))-1)</f>
        <v>-7.2864485253773426E-2</v>
      </c>
    </row>
    <row r="29" spans="2:12" ht="15" hidden="1" outlineLevel="1">
      <c r="B29" s="305" t="s">
        <v>212</v>
      </c>
      <c r="C29" s="387">
        <f>GETPIVOTDATA("dato",'[1]tabla dinámica IO men'!$A$96,"categoría","TOTAL","mes",4,"año",2009)</f>
        <v>56.026629220914671</v>
      </c>
      <c r="D29" s="39">
        <f t="shared" si="2"/>
        <v>-1.7421444740184703E-2</v>
      </c>
      <c r="E29" s="40">
        <f t="shared" si="1"/>
        <v>-0.13725547858154186</v>
      </c>
      <c r="F29" s="388">
        <f>((SUM(C29:C32,C34:C41)/SUM(C42:C45,C47:C54))-1)</f>
        <v>-4.5217720767343761E-2</v>
      </c>
    </row>
    <row r="30" spans="2:12" ht="15" hidden="1" outlineLevel="1">
      <c r="B30" s="305" t="s">
        <v>213</v>
      </c>
      <c r="C30" s="387">
        <f>GETPIVOTDATA("dato",'[1]tabla dinámica IO men'!$A$96,"categoría","TOTAL","mes",3,"año",2009)</f>
        <v>57.02</v>
      </c>
      <c r="D30" s="39">
        <f t="shared" si="2"/>
        <v>-5.6741108354011575E-2</v>
      </c>
      <c r="E30" s="40">
        <f t="shared" si="1"/>
        <v>-0.20871495975575904</v>
      </c>
      <c r="F30" s="388">
        <f>((SUM(C30:C32,C34:C42)/SUM(C43:C45,C47:C55))-1)</f>
        <v>-3.2215521325496987E-2</v>
      </c>
    </row>
    <row r="31" spans="2:12" ht="15" hidden="1" outlineLevel="1">
      <c r="B31" s="305" t="s">
        <v>214</v>
      </c>
      <c r="C31" s="387">
        <f>GETPIVOTDATA("dato",'[1]tabla dinámica IO men'!$A$96,"categoría","TOTAL","mes",2,"año",2009)</f>
        <v>60.45</v>
      </c>
      <c r="D31" s="39">
        <f t="shared" si="2"/>
        <v>-1.2254901960784314E-2</v>
      </c>
      <c r="E31" s="40">
        <f t="shared" si="1"/>
        <v>-0.15134072722167624</v>
      </c>
      <c r="F31" s="388">
        <f>((SUM(C31:C32,C34:C43)/SUM(C44:C45,C47:C56))-1)</f>
        <v>-6.9435498415478802E-3</v>
      </c>
    </row>
    <row r="32" spans="2:12" ht="15" hidden="1" outlineLevel="1">
      <c r="B32" s="305" t="s">
        <v>215</v>
      </c>
      <c r="C32" s="387">
        <f>GETPIVOTDATA("dato",'[1]tabla dinámica IO men'!$A$96,"categoría","TOTAL","mes",1,"año",2009)</f>
        <v>61.2</v>
      </c>
      <c r="D32" s="39" t="s">
        <v>216</v>
      </c>
      <c r="E32" s="40">
        <f t="shared" si="1"/>
        <v>-0.11560693641618491</v>
      </c>
      <c r="F32" s="388">
        <f>((SUM(C32,C34:C44)/SUM(C45,C47:C57))-1)</f>
        <v>1.1451863354037473E-2</v>
      </c>
    </row>
    <row r="33" spans="2:6" ht="15" collapsed="1">
      <c r="B33" s="310">
        <v>2009</v>
      </c>
      <c r="C33" s="391">
        <f>'[1]tabla dinámica IO men'!E510</f>
        <v>56.867000801089773</v>
      </c>
      <c r="D33" s="311"/>
      <c r="E33" s="392">
        <f t="shared" si="1"/>
        <v>-0.13599251003488055</v>
      </c>
      <c r="F33" s="392">
        <f>C33/C46-1</f>
        <v>-0.13599251003488055</v>
      </c>
    </row>
    <row r="34" spans="2:6" ht="15" hidden="1" outlineLevel="1">
      <c r="B34" s="305" t="s">
        <v>204</v>
      </c>
      <c r="C34" s="387">
        <f>GETPIVOTDATA("dato",'[1]tabla dinámica IO men'!$A$96,"categoría","TOTAL","mes",12,"año",2008)</f>
        <v>59.57</v>
      </c>
      <c r="D34" s="39">
        <f t="shared" ref="D34:D44" si="3">IFERROR((C34-C35)/C35,"-")</f>
        <v>-5.4594508808125657E-2</v>
      </c>
      <c r="E34" s="40">
        <f t="shared" si="1"/>
        <v>-7.6863474353014105E-2</v>
      </c>
      <c r="F34" s="388">
        <f>((SUM(C34:C45)/SUM(C47:C58))-1)</f>
        <v>2.513339132015191E-2</v>
      </c>
    </row>
    <row r="35" spans="2:6" ht="15" hidden="1" outlineLevel="1">
      <c r="B35" s="305" t="s">
        <v>205</v>
      </c>
      <c r="C35" s="387">
        <f>GETPIVOTDATA("dato",'[1]tabla dinámica IO men'!$A$96,"categoría","TOTAL","mes",11,"año",2008)</f>
        <v>63.01</v>
      </c>
      <c r="D35" s="39">
        <f t="shared" si="3"/>
        <v>8.967173738991115E-3</v>
      </c>
      <c r="E35" s="40">
        <f t="shared" si="1"/>
        <v>-7.1196933962264231E-2</v>
      </c>
      <c r="F35" s="388">
        <f>((SUM(C35:C45,C47)/SUM(C48:C58,C60))-1)</f>
        <v>3.455414220058084E-2</v>
      </c>
    </row>
    <row r="36" spans="2:6" ht="15" hidden="1" outlineLevel="1">
      <c r="B36" s="305" t="s">
        <v>206</v>
      </c>
      <c r="C36" s="387">
        <f>GETPIVOTDATA("dato",'[1]tabla dinámica IO men'!$A$96,"categoría","TOTAL","mes",10,"año",2008)</f>
        <v>62.45</v>
      </c>
      <c r="D36" s="39">
        <f t="shared" si="3"/>
        <v>4.4139775957197799E-2</v>
      </c>
      <c r="E36" s="40">
        <f t="shared" si="1"/>
        <v>-4.2618427104093248E-2</v>
      </c>
      <c r="F36" s="388">
        <f>((SUM(C36:C45,C47:C48)/SUM(C49:C58,C60:C61))-1)</f>
        <v>4.4650907522835404E-2</v>
      </c>
    </row>
    <row r="37" spans="2:6" ht="15" hidden="1" outlineLevel="1">
      <c r="B37" s="305" t="s">
        <v>207</v>
      </c>
      <c r="C37" s="387">
        <f>GETPIVOTDATA("dato",'[1]tabla dinámica IO men'!$A$96,"categoría","TOTAL","mes",9,"año",2008)</f>
        <v>59.81</v>
      </c>
      <c r="D37" s="39">
        <f t="shared" si="3"/>
        <v>-0.22935188764334488</v>
      </c>
      <c r="E37" s="40">
        <f t="shared" si="1"/>
        <v>-1.9025750369033867E-2</v>
      </c>
      <c r="F37" s="388">
        <f>((SUM(C37:C45,C47:C49)/SUM(C50:C58,C60:C62))-1)</f>
        <v>4.6069188540729611E-2</v>
      </c>
    </row>
    <row r="38" spans="2:6" ht="15" hidden="1" outlineLevel="1">
      <c r="B38" s="305" t="s">
        <v>208</v>
      </c>
      <c r="C38" s="387">
        <f>GETPIVOTDATA("dato",'[1]tabla dinámica IO men'!$A$96,"categoría","TOTAL","mes",8,"año",2008)</f>
        <v>77.61</v>
      </c>
      <c r="D38" s="39">
        <f t="shared" si="3"/>
        <v>6.9597574421168651E-2</v>
      </c>
      <c r="E38" s="40">
        <f t="shared" si="1"/>
        <v>-9.0113285272919175E-4</v>
      </c>
      <c r="F38" s="388">
        <f>((SUM(C38:C45,C47:C50)/SUM(C51:C58,C60:C63))-1)</f>
        <v>4.2565340392950901E-2</v>
      </c>
    </row>
    <row r="39" spans="2:6" ht="15" hidden="1" outlineLevel="1">
      <c r="B39" s="305" t="s">
        <v>209</v>
      </c>
      <c r="C39" s="387">
        <f>GETPIVOTDATA("dato",'[1]tabla dinámica IO men'!$A$96,"categoría","TOTAL","mes",7,"año",2008)</f>
        <v>72.56</v>
      </c>
      <c r="D39" s="39">
        <f t="shared" si="3"/>
        <v>0.20973657885961997</v>
      </c>
      <c r="E39" s="40">
        <f t="shared" si="1"/>
        <v>8.282345918519618E-2</v>
      </c>
      <c r="F39" s="388">
        <f>((SUM(C39:C45,C47:C51)/SUM(C52:C58,C60:C64))-1)</f>
        <v>3.6255062295251328E-2</v>
      </c>
    </row>
    <row r="40" spans="2:6" ht="15" hidden="1" outlineLevel="1">
      <c r="B40" s="305" t="s">
        <v>210</v>
      </c>
      <c r="C40" s="387">
        <f>GETPIVOTDATA("dato",'[1]tabla dinámica IO men'!$A$96,"categoría","TOTAL","mes",6,"año",2008)</f>
        <v>59.98</v>
      </c>
      <c r="D40" s="39">
        <f t="shared" si="3"/>
        <v>4.8051721125283942E-2</v>
      </c>
      <c r="E40" s="40">
        <f t="shared" si="1"/>
        <v>0.1134211991832188</v>
      </c>
      <c r="F40" s="388">
        <f>((SUM(C40:C45,C47:C52)/SUM(C53:C58,C60:C65))-1)</f>
        <v>2.1769752849276847E-2</v>
      </c>
    </row>
    <row r="41" spans="2:6" ht="15" hidden="1" outlineLevel="1">
      <c r="B41" s="305" t="s">
        <v>211</v>
      </c>
      <c r="C41" s="387">
        <f>GETPIVOTDATA("dato",'[1]tabla dinámica IO men'!$A$96,"categoría","TOTAL","mes",5,"año",2008)</f>
        <v>57.23</v>
      </c>
      <c r="D41" s="39">
        <f t="shared" si="3"/>
        <v>-0.11872497690175549</v>
      </c>
      <c r="E41" s="40">
        <f t="shared" si="1"/>
        <v>0.19903624554787336</v>
      </c>
      <c r="F41" s="388">
        <f>((SUM(C41:C45,C47:C53)/SUM(C54:C58,C60:C66))-1)</f>
        <v>7.0717220151865767E-3</v>
      </c>
    </row>
    <row r="42" spans="2:6" ht="15" hidden="1" outlineLevel="1">
      <c r="B42" s="305" t="s">
        <v>212</v>
      </c>
      <c r="C42" s="387">
        <f>GETPIVOTDATA("dato",'[1]tabla dinámica IO men'!$A$96,"categoría","TOTAL","mes",4,"año",2008)</f>
        <v>64.94</v>
      </c>
      <c r="D42" s="39">
        <f t="shared" si="3"/>
        <v>-9.880655009714133E-2</v>
      </c>
      <c r="E42" s="40">
        <f t="shared" si="1"/>
        <v>2.0427404148334327E-2</v>
      </c>
      <c r="F42" s="388">
        <f>((SUM(C42:C45,C47:C54)/SUM(C55:C58,C60:C67))-1)</f>
        <v>-1.2758707723371954E-2</v>
      </c>
    </row>
    <row r="43" spans="2:6" ht="15" hidden="1" outlineLevel="1">
      <c r="B43" s="305" t="s">
        <v>213</v>
      </c>
      <c r="C43" s="387">
        <f>GETPIVOTDATA("dato",'[1]tabla dinámica IO men'!$A$96,"categoría","TOTAL","mes",3,"año",2008)</f>
        <v>72.06</v>
      </c>
      <c r="D43" s="39">
        <f t="shared" si="3"/>
        <v>1.1652393654359093E-2</v>
      </c>
      <c r="E43" s="40">
        <f t="shared" si="1"/>
        <v>7.0251002524877482E-2</v>
      </c>
      <c r="F43" s="388">
        <f>((SUM(C43:C45,C47:C55)/SUM(C56:C58,C60:C68))-1)</f>
        <v>-2.136484386747517E-2</v>
      </c>
    </row>
    <row r="44" spans="2:6" ht="15" hidden="1" outlineLevel="1">
      <c r="B44" s="305" t="s">
        <v>214</v>
      </c>
      <c r="C44" s="387">
        <f>GETPIVOTDATA("dato",'[1]tabla dinámica IO men'!$A$96,"categoría","TOTAL","mes",2,"año",2008)</f>
        <v>71.23</v>
      </c>
      <c r="D44" s="39">
        <f t="shared" si="3"/>
        <v>2.9335260115606953E-2</v>
      </c>
      <c r="E44" s="40">
        <f t="shared" si="1"/>
        <v>5.1055039102847921E-2</v>
      </c>
      <c r="F44" s="388">
        <f>((SUM(C44:C45,C47:C56)/SUM(C57:C58,C60:C69))-1)</f>
        <v>-2.8873820902244107E-2</v>
      </c>
    </row>
    <row r="45" spans="2:6" ht="15" hidden="1" outlineLevel="1">
      <c r="B45" s="305" t="s">
        <v>215</v>
      </c>
      <c r="C45" s="387">
        <f>GETPIVOTDATA("dato",'[1]tabla dinámica IO men'!$A$96,"categoría","TOTAL","mes",1,"año",2008)</f>
        <v>69.2</v>
      </c>
      <c r="D45" s="39" t="s">
        <v>216</v>
      </c>
      <c r="E45" s="40">
        <f t="shared" si="1"/>
        <v>3.7636827110511417E-2</v>
      </c>
      <c r="F45" s="388">
        <f>((SUM(C45,C47:C57)/SUM(C58,C60:C70))-1)</f>
        <v>-3.5795830266129314E-2</v>
      </c>
    </row>
    <row r="46" spans="2:6" ht="15" collapsed="1">
      <c r="B46" s="312">
        <v>2008</v>
      </c>
      <c r="C46" s="393">
        <f>'[1]tabla dinámica IO men'!D510</f>
        <v>65.817717394308161</v>
      </c>
      <c r="D46" s="314"/>
      <c r="E46" s="394">
        <f t="shared" si="1"/>
        <v>2.5365732768151794E-2</v>
      </c>
      <c r="F46" s="394">
        <f>C46/C59-1</f>
        <v>2.5365732768151794E-2</v>
      </c>
    </row>
    <row r="47" spans="2:6" ht="15" hidden="1" outlineLevel="1">
      <c r="B47" s="305" t="s">
        <v>204</v>
      </c>
      <c r="C47" s="387">
        <f>GETPIVOTDATA("dato",'[1]tabla dinámica IO men'!$A$96,"categoría","TOTAL","mes",12,"año",2007)</f>
        <v>64.53</v>
      </c>
      <c r="D47" s="39">
        <f t="shared" ref="D47:D57" si="4">IFERROR((C47-C48)/C48,"-")</f>
        <v>-4.8791273584905689E-2</v>
      </c>
      <c r="E47" s="40">
        <f t="shared" si="1"/>
        <v>3.5628310062590263E-2</v>
      </c>
      <c r="F47" s="388" t="s">
        <v>216</v>
      </c>
    </row>
    <row r="48" spans="2:6" ht="15" hidden="1" outlineLevel="1">
      <c r="B48" s="305" t="s">
        <v>205</v>
      </c>
      <c r="C48" s="387">
        <f>GETPIVOTDATA("dato",'[1]tabla dinámica IO men'!$A$96,"categoría","TOTAL","mes",11,"año",2007)</f>
        <v>67.84</v>
      </c>
      <c r="D48" s="39">
        <f t="shared" si="4"/>
        <v>4.0012264295569512E-2</v>
      </c>
      <c r="E48" s="40">
        <f t="shared" si="1"/>
        <v>4.3050430504304904E-2</v>
      </c>
      <c r="F48" s="388" t="s">
        <v>216</v>
      </c>
    </row>
    <row r="49" spans="2:6" ht="15" hidden="1" outlineLevel="1">
      <c r="B49" s="305" t="s">
        <v>206</v>
      </c>
      <c r="C49" s="387">
        <f>GETPIVOTDATA("dato",'[1]tabla dinámica IO men'!$A$96,"categoría","TOTAL","mes",10,"año",2007)</f>
        <v>65.23</v>
      </c>
      <c r="D49" s="39">
        <f t="shared" si="4"/>
        <v>6.9870428079383387E-2</v>
      </c>
      <c r="E49" s="40">
        <f t="shared" si="1"/>
        <v>-2.4233358264771687E-2</v>
      </c>
      <c r="F49" s="388" t="s">
        <v>216</v>
      </c>
    </row>
    <row r="50" spans="2:6" ht="15" hidden="1" outlineLevel="1">
      <c r="B50" s="305" t="s">
        <v>207</v>
      </c>
      <c r="C50" s="387">
        <f>GETPIVOTDATA("dato",'[1]tabla dinámica IO men'!$A$96,"categoría","TOTAL","mes",9,"año",2007)</f>
        <v>60.97</v>
      </c>
      <c r="D50" s="39">
        <f t="shared" si="4"/>
        <v>-0.2151132852729146</v>
      </c>
      <c r="E50" s="40">
        <f t="shared" si="1"/>
        <v>-5.7067738942158996E-2</v>
      </c>
      <c r="F50" s="388" t="s">
        <v>216</v>
      </c>
    </row>
    <row r="51" spans="2:6" ht="15" hidden="1" outlineLevel="1">
      <c r="B51" s="305" t="s">
        <v>208</v>
      </c>
      <c r="C51" s="387">
        <f>GETPIVOTDATA("dato",'[1]tabla dinámica IO men'!$A$96,"categoría","TOTAL","mes",8,"año",2007)</f>
        <v>77.680000000000007</v>
      </c>
      <c r="D51" s="39">
        <f t="shared" si="4"/>
        <v>0.15922996567676467</v>
      </c>
      <c r="E51" s="40">
        <f t="shared" si="1"/>
        <v>-5.7738961669092537E-2</v>
      </c>
      <c r="F51" s="388" t="s">
        <v>216</v>
      </c>
    </row>
    <row r="52" spans="2:6" ht="15" hidden="1" outlineLevel="1">
      <c r="B52" s="305" t="s">
        <v>209</v>
      </c>
      <c r="C52" s="387">
        <f>GETPIVOTDATA("dato",'[1]tabla dinámica IO men'!$A$96,"categoría","TOTAL","mes",7,"año",2007)</f>
        <v>67.010000000000005</v>
      </c>
      <c r="D52" s="39">
        <f t="shared" si="4"/>
        <v>0.24392054947094874</v>
      </c>
      <c r="E52" s="40">
        <f t="shared" si="1"/>
        <v>-7.661568141105124E-2</v>
      </c>
      <c r="F52" s="388" t="s">
        <v>216</v>
      </c>
    </row>
    <row r="53" spans="2:6" ht="15" hidden="1" outlineLevel="1">
      <c r="B53" s="305" t="s">
        <v>210</v>
      </c>
      <c r="C53" s="387">
        <f>GETPIVOTDATA("dato",'[1]tabla dinámica IO men'!$A$96,"categoría","TOTAL","mes",6,"año",2007)</f>
        <v>53.87</v>
      </c>
      <c r="D53" s="39">
        <f t="shared" si="4"/>
        <v>0.12864026817515192</v>
      </c>
      <c r="E53" s="40">
        <f t="shared" si="1"/>
        <v>-9.0033783783783905E-2</v>
      </c>
      <c r="F53" s="388" t="s">
        <v>216</v>
      </c>
    </row>
    <row r="54" spans="2:6" ht="15" hidden="1" outlineLevel="1">
      <c r="B54" s="305" t="s">
        <v>211</v>
      </c>
      <c r="C54" s="387">
        <f>GETPIVOTDATA("dato",'[1]tabla dinámica IO men'!$A$96,"categoría","TOTAL","mes",5,"año",2007)</f>
        <v>47.73</v>
      </c>
      <c r="D54" s="39">
        <f t="shared" si="4"/>
        <v>-0.25000000000000006</v>
      </c>
      <c r="E54" s="40">
        <f t="shared" si="1"/>
        <v>-0.11447124304267164</v>
      </c>
      <c r="F54" s="388" t="s">
        <v>216</v>
      </c>
    </row>
    <row r="55" spans="2:6" ht="15" hidden="1" outlineLevel="1">
      <c r="B55" s="305" t="s">
        <v>212</v>
      </c>
      <c r="C55" s="387">
        <f>GETPIVOTDATA("dato",'[1]tabla dinámica IO men'!$A$96,"categoría","TOTAL","mes",4,"año",2007)</f>
        <v>63.64</v>
      </c>
      <c r="D55" s="39">
        <f t="shared" si="4"/>
        <v>-5.4804693301648562E-2</v>
      </c>
      <c r="E55" s="40">
        <f t="shared" si="1"/>
        <v>-8.1408775981524295E-2</v>
      </c>
      <c r="F55" s="388" t="s">
        <v>216</v>
      </c>
    </row>
    <row r="56" spans="2:6" ht="15" hidden="1" outlineLevel="1">
      <c r="B56" s="305" t="s">
        <v>213</v>
      </c>
      <c r="C56" s="387">
        <f>GETPIVOTDATA("dato",'[1]tabla dinámica IO men'!$A$96,"categoría","TOTAL","mes",3,"año",2007)</f>
        <v>67.33</v>
      </c>
      <c r="D56" s="39">
        <f t="shared" si="4"/>
        <v>-6.4925483252176149E-3</v>
      </c>
      <c r="E56" s="40">
        <f t="shared" si="1"/>
        <v>-1.8942153577152787E-2</v>
      </c>
      <c r="F56" s="388" t="s">
        <v>216</v>
      </c>
    </row>
    <row r="57" spans="2:6" ht="15" hidden="1" outlineLevel="1">
      <c r="B57" s="305" t="s">
        <v>214</v>
      </c>
      <c r="C57" s="387">
        <f>GETPIVOTDATA("dato",'[1]tabla dinámica IO men'!$A$96,"categoría","TOTAL","mes",2,"año",2007)</f>
        <v>67.77</v>
      </c>
      <c r="D57" s="39">
        <f t="shared" si="4"/>
        <v>1.6194331983805644E-2</v>
      </c>
      <c r="E57" s="40">
        <f t="shared" si="1"/>
        <v>-3.0749427917620253E-2</v>
      </c>
      <c r="F57" s="388" t="s">
        <v>216</v>
      </c>
    </row>
    <row r="58" spans="2:6" ht="15" hidden="1" outlineLevel="1">
      <c r="B58" s="305" t="s">
        <v>215</v>
      </c>
      <c r="C58" s="387">
        <f>GETPIVOTDATA("dato",'[1]tabla dinámica IO men'!$A$96,"categoría","TOTAL","mes",1,"año",2007)</f>
        <v>66.69</v>
      </c>
      <c r="D58" s="39" t="s">
        <v>216</v>
      </c>
      <c r="E58" s="40">
        <f t="shared" si="1"/>
        <v>-4.5239799570508166E-2</v>
      </c>
      <c r="F58" s="388" t="s">
        <v>216</v>
      </c>
    </row>
    <row r="59" spans="2:6" ht="15" collapsed="1">
      <c r="B59" s="312">
        <v>2007</v>
      </c>
      <c r="C59" s="393">
        <f>'[1]tabla dinámica IO men'!C510</f>
        <v>64.189503599483345</v>
      </c>
      <c r="D59" s="314"/>
      <c r="E59" s="394">
        <f t="shared" si="1"/>
        <v>-4.2822574517340728E-2</v>
      </c>
      <c r="F59" s="394">
        <f>C59/C72-1</f>
        <v>-4.2822574517340728E-2</v>
      </c>
    </row>
    <row r="60" spans="2:6" ht="15" hidden="1" outlineLevel="1">
      <c r="B60" s="305" t="s">
        <v>204</v>
      </c>
      <c r="C60" s="387">
        <f>GETPIVOTDATA("dato",'[1]tabla dinámica IO men'!$A$96,"categoría","TOTAL","mes",12,"año",2006)</f>
        <v>62.31</v>
      </c>
      <c r="D60" s="39">
        <f t="shared" ref="D60:D70" si="5">IFERROR((C60-C61)/C61,"-")</f>
        <v>-4.1974169741697473E-2</v>
      </c>
      <c r="E60" s="395" t="s">
        <v>216</v>
      </c>
      <c r="F60" s="388" t="s">
        <v>216</v>
      </c>
    </row>
    <row r="61" spans="2:6" ht="15" hidden="1" outlineLevel="1">
      <c r="B61" s="305" t="s">
        <v>205</v>
      </c>
      <c r="C61" s="387">
        <f>GETPIVOTDATA("dato",'[1]tabla dinámica IO men'!$A$96,"categoría","TOTAL","mes",11,"año",2006)</f>
        <v>65.040000000000006</v>
      </c>
      <c r="D61" s="39">
        <f t="shared" si="5"/>
        <v>-2.7075542258788155E-2</v>
      </c>
      <c r="E61" s="395" t="s">
        <v>216</v>
      </c>
      <c r="F61" s="388" t="s">
        <v>216</v>
      </c>
    </row>
    <row r="62" spans="2:6" ht="15" hidden="1" outlineLevel="1">
      <c r="B62" s="305" t="s">
        <v>206</v>
      </c>
      <c r="C62" s="387">
        <f>GETPIVOTDATA("dato",'[1]tabla dinámica IO men'!$A$96,"categoría","TOTAL","mes",10,"año",2006)</f>
        <v>66.849999999999994</v>
      </c>
      <c r="D62" s="39">
        <f t="shared" si="5"/>
        <v>3.3869471079492695E-2</v>
      </c>
      <c r="E62" s="395" t="s">
        <v>216</v>
      </c>
      <c r="F62" s="388" t="s">
        <v>216</v>
      </c>
    </row>
    <row r="63" spans="2:6" ht="15" hidden="1" outlineLevel="1">
      <c r="B63" s="305" t="s">
        <v>207</v>
      </c>
      <c r="C63" s="387">
        <f>GETPIVOTDATA("dato",'[1]tabla dinámica IO men'!$A$96,"categoría","TOTAL","mes",9,"año",2006)</f>
        <v>64.66</v>
      </c>
      <c r="D63" s="39">
        <f t="shared" si="5"/>
        <v>-0.2156720038816109</v>
      </c>
      <c r="E63" s="395" t="s">
        <v>216</v>
      </c>
      <c r="F63" s="388" t="s">
        <v>216</v>
      </c>
    </row>
    <row r="64" spans="2:6" ht="15" hidden="1" outlineLevel="1">
      <c r="B64" s="305" t="s">
        <v>208</v>
      </c>
      <c r="C64" s="387">
        <f>GETPIVOTDATA("dato",'[1]tabla dinámica IO men'!$A$96,"categoría","TOTAL","mes",8,"año",2006)</f>
        <v>82.44</v>
      </c>
      <c r="D64" s="39">
        <f t="shared" si="5"/>
        <v>0.13600661430343125</v>
      </c>
      <c r="E64" s="395" t="s">
        <v>216</v>
      </c>
      <c r="F64" s="388" t="s">
        <v>216</v>
      </c>
    </row>
    <row r="65" spans="2:6" ht="15" hidden="1" outlineLevel="1">
      <c r="B65" s="305" t="s">
        <v>209</v>
      </c>
      <c r="C65" s="387">
        <f>GETPIVOTDATA("dato",'[1]tabla dinámica IO men'!$A$96,"categoría","TOTAL","mes",7,"año",2006)</f>
        <v>72.569999999999993</v>
      </c>
      <c r="D65" s="39">
        <f t="shared" si="5"/>
        <v>0.22584459459459441</v>
      </c>
      <c r="E65" s="395" t="s">
        <v>216</v>
      </c>
      <c r="F65" s="388" t="s">
        <v>216</v>
      </c>
    </row>
    <row r="66" spans="2:6" ht="15" hidden="1" outlineLevel="1">
      <c r="B66" s="305" t="s">
        <v>210</v>
      </c>
      <c r="C66" s="387">
        <f>GETPIVOTDATA("dato",'[1]tabla dinámica IO men'!$A$96,"categoría","TOTAL","mes",6,"año",2006)</f>
        <v>59.2</v>
      </c>
      <c r="D66" s="39">
        <f t="shared" si="5"/>
        <v>9.8330241187384121E-2</v>
      </c>
      <c r="E66" s="395" t="s">
        <v>216</v>
      </c>
      <c r="F66" s="388" t="s">
        <v>216</v>
      </c>
    </row>
    <row r="67" spans="2:6" ht="15" hidden="1" outlineLevel="1">
      <c r="B67" s="305" t="s">
        <v>211</v>
      </c>
      <c r="C67" s="387">
        <f>GETPIVOTDATA("dato",'[1]tabla dinámica IO men'!$A$96,"categoría","TOTAL","mes",5,"año",2006)</f>
        <v>53.9</v>
      </c>
      <c r="D67" s="39">
        <f t="shared" si="5"/>
        <v>-0.22199769053117785</v>
      </c>
      <c r="E67" s="395" t="s">
        <v>216</v>
      </c>
      <c r="F67" s="388" t="s">
        <v>216</v>
      </c>
    </row>
    <row r="68" spans="2:6" ht="15" hidden="1" outlineLevel="1">
      <c r="B68" s="305" t="s">
        <v>212</v>
      </c>
      <c r="C68" s="387">
        <f>GETPIVOTDATA("dato",'[1]tabla dinámica IO men'!$A$96,"categoría","TOTAL","mes",4,"año",2006)</f>
        <v>69.28</v>
      </c>
      <c r="D68" s="39">
        <f t="shared" si="5"/>
        <v>9.4710767885765081E-3</v>
      </c>
      <c r="E68" s="395" t="s">
        <v>216</v>
      </c>
      <c r="F68" s="388" t="s">
        <v>216</v>
      </c>
    </row>
    <row r="69" spans="2:6" ht="15" hidden="1" outlineLevel="1">
      <c r="B69" s="305" t="s">
        <v>213</v>
      </c>
      <c r="C69" s="387">
        <f>GETPIVOTDATA("dato",'[1]tabla dinámica IO men'!$A$96,"categoría","TOTAL","mes",3,"año",2006)</f>
        <v>68.63</v>
      </c>
      <c r="D69" s="39">
        <f t="shared" si="5"/>
        <v>-1.8449656750572172E-2</v>
      </c>
      <c r="E69" s="395" t="s">
        <v>216</v>
      </c>
      <c r="F69" s="388" t="s">
        <v>216</v>
      </c>
    </row>
    <row r="70" spans="2:6" ht="15" hidden="1" outlineLevel="1">
      <c r="B70" s="305" t="s">
        <v>214</v>
      </c>
      <c r="C70" s="387">
        <f>GETPIVOTDATA("dato",'[1]tabla dinámica IO men'!$A$96,"categoría","TOTAL","mes",2,"año",2006)</f>
        <v>69.92</v>
      </c>
      <c r="D70" s="39">
        <f t="shared" si="5"/>
        <v>1.0021474588404781E-3</v>
      </c>
      <c r="E70" s="395" t="s">
        <v>216</v>
      </c>
      <c r="F70" s="388" t="s">
        <v>216</v>
      </c>
    </row>
    <row r="71" spans="2:6" ht="15" hidden="1" outlineLevel="1">
      <c r="B71" s="305" t="s">
        <v>215</v>
      </c>
      <c r="C71" s="387">
        <f>GETPIVOTDATA("dato",'[1]tabla dinámica IO men'!$A$96,"categoría","TOTAL","mes",1,"año",2006)</f>
        <v>69.849999999999994</v>
      </c>
      <c r="D71" s="39" t="s">
        <v>216</v>
      </c>
      <c r="E71" s="395" t="s">
        <v>216</v>
      </c>
      <c r="F71" s="388" t="s">
        <v>216</v>
      </c>
    </row>
    <row r="72" spans="2:6" ht="15" collapsed="1">
      <c r="B72" s="312">
        <v>2006</v>
      </c>
      <c r="C72" s="393">
        <f>'[1]tabla dinámica IO men'!B510</f>
        <v>67.06123848158623</v>
      </c>
      <c r="D72" s="314"/>
      <c r="E72" s="396" t="s">
        <v>216</v>
      </c>
      <c r="F72" s="396" t="s">
        <v>216</v>
      </c>
    </row>
    <row r="73" spans="2:6">
      <c r="B73" s="317" t="s">
        <v>217</v>
      </c>
      <c r="C73" s="318"/>
      <c r="D73" s="318"/>
      <c r="E73" s="318"/>
      <c r="F73" s="318"/>
    </row>
  </sheetData>
  <mergeCells count="2">
    <mergeCell ref="B6:F6"/>
    <mergeCell ref="B73:F73"/>
  </mergeCells>
  <hyperlinks>
    <hyperlink ref="H7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>
      <selection activeCell="B25" sqref="B25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60" t="s">
        <v>51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28:L33"/>
  <sheetViews>
    <sheetView showGridLines="0" showRowColHeaders="0" showOutlineSymbols="0" zoomScaleNormal="100" workbookViewId="0">
      <selection activeCell="B25" sqref="B25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12"/>
      <c r="C28" s="12"/>
      <c r="D28" s="12"/>
      <c r="E28" s="12"/>
      <c r="F28" s="12"/>
      <c r="G28" s="12"/>
      <c r="H28" s="12"/>
      <c r="J28" s="12"/>
      <c r="K28" s="12"/>
      <c r="L28" s="12"/>
    </row>
    <row r="30" spans="2:12">
      <c r="I30" s="12"/>
    </row>
    <row r="32" spans="2:12" ht="15" customHeight="1" thickBot="1"/>
    <row r="33" spans="9:9" ht="30" customHeight="1" thickBot="1">
      <c r="I33" s="60" t="s">
        <v>51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37">
    <tabColor theme="4" tint="-0.499984740745262"/>
    <pageSetUpPr autoPageBreaks="0" fitToPage="1"/>
  </sheetPr>
  <dimension ref="D7:J79"/>
  <sheetViews>
    <sheetView showGridLines="0" showRowColHeaders="0" showOutlineSymbols="0" zoomScaleNormal="100" workbookViewId="0">
      <selection activeCell="B25" sqref="B25"/>
    </sheetView>
  </sheetViews>
  <sheetFormatPr baseColWidth="10" defaultRowHeight="12.75"/>
  <cols>
    <col min="1" max="3" width="11.42578125" style="2"/>
    <col min="4" max="4" width="9.140625" style="2" customWidth="1"/>
    <col min="5" max="5" width="12" style="2" bestFit="1" customWidth="1"/>
    <col min="6" max="6" width="43.28515625" style="2" customWidth="1"/>
    <col min="7" max="7" width="35.140625" style="2" customWidth="1"/>
    <col min="8" max="259" width="11.42578125" style="2"/>
    <col min="260" max="260" width="9.140625" style="2" customWidth="1"/>
    <col min="261" max="261" width="12" style="2" bestFit="1" customWidth="1"/>
    <col min="262" max="262" width="43.28515625" style="2" customWidth="1"/>
    <col min="263" max="515" width="11.42578125" style="2"/>
    <col min="516" max="516" width="9.140625" style="2" customWidth="1"/>
    <col min="517" max="517" width="12" style="2" bestFit="1" customWidth="1"/>
    <col min="518" max="518" width="43.28515625" style="2" customWidth="1"/>
    <col min="519" max="771" width="11.42578125" style="2"/>
    <col min="772" max="772" width="9.140625" style="2" customWidth="1"/>
    <col min="773" max="773" width="12" style="2" bestFit="1" customWidth="1"/>
    <col min="774" max="774" width="43.28515625" style="2" customWidth="1"/>
    <col min="775" max="1027" width="11.42578125" style="2"/>
    <col min="1028" max="1028" width="9.140625" style="2" customWidth="1"/>
    <col min="1029" max="1029" width="12" style="2" bestFit="1" customWidth="1"/>
    <col min="1030" max="1030" width="43.28515625" style="2" customWidth="1"/>
    <col min="1031" max="1283" width="11.42578125" style="2"/>
    <col min="1284" max="1284" width="9.140625" style="2" customWidth="1"/>
    <col min="1285" max="1285" width="12" style="2" bestFit="1" customWidth="1"/>
    <col min="1286" max="1286" width="43.28515625" style="2" customWidth="1"/>
    <col min="1287" max="1539" width="11.42578125" style="2"/>
    <col min="1540" max="1540" width="9.140625" style="2" customWidth="1"/>
    <col min="1541" max="1541" width="12" style="2" bestFit="1" customWidth="1"/>
    <col min="1542" max="1542" width="43.28515625" style="2" customWidth="1"/>
    <col min="1543" max="1795" width="11.42578125" style="2"/>
    <col min="1796" max="1796" width="9.140625" style="2" customWidth="1"/>
    <col min="1797" max="1797" width="12" style="2" bestFit="1" customWidth="1"/>
    <col min="1798" max="1798" width="43.28515625" style="2" customWidth="1"/>
    <col min="1799" max="2051" width="11.42578125" style="2"/>
    <col min="2052" max="2052" width="9.140625" style="2" customWidth="1"/>
    <col min="2053" max="2053" width="12" style="2" bestFit="1" customWidth="1"/>
    <col min="2054" max="2054" width="43.28515625" style="2" customWidth="1"/>
    <col min="2055" max="2307" width="11.42578125" style="2"/>
    <col min="2308" max="2308" width="9.140625" style="2" customWidth="1"/>
    <col min="2309" max="2309" width="12" style="2" bestFit="1" customWidth="1"/>
    <col min="2310" max="2310" width="43.28515625" style="2" customWidth="1"/>
    <col min="2311" max="2563" width="11.42578125" style="2"/>
    <col min="2564" max="2564" width="9.140625" style="2" customWidth="1"/>
    <col min="2565" max="2565" width="12" style="2" bestFit="1" customWidth="1"/>
    <col min="2566" max="2566" width="43.28515625" style="2" customWidth="1"/>
    <col min="2567" max="2819" width="11.42578125" style="2"/>
    <col min="2820" max="2820" width="9.140625" style="2" customWidth="1"/>
    <col min="2821" max="2821" width="12" style="2" bestFit="1" customWidth="1"/>
    <col min="2822" max="2822" width="43.28515625" style="2" customWidth="1"/>
    <col min="2823" max="3075" width="11.42578125" style="2"/>
    <col min="3076" max="3076" width="9.140625" style="2" customWidth="1"/>
    <col min="3077" max="3077" width="12" style="2" bestFit="1" customWidth="1"/>
    <col min="3078" max="3078" width="43.28515625" style="2" customWidth="1"/>
    <col min="3079" max="3331" width="11.42578125" style="2"/>
    <col min="3332" max="3332" width="9.140625" style="2" customWidth="1"/>
    <col min="3333" max="3333" width="12" style="2" bestFit="1" customWidth="1"/>
    <col min="3334" max="3334" width="43.28515625" style="2" customWidth="1"/>
    <col min="3335" max="3587" width="11.42578125" style="2"/>
    <col min="3588" max="3588" width="9.140625" style="2" customWidth="1"/>
    <col min="3589" max="3589" width="12" style="2" bestFit="1" customWidth="1"/>
    <col min="3590" max="3590" width="43.28515625" style="2" customWidth="1"/>
    <col min="3591" max="3843" width="11.42578125" style="2"/>
    <col min="3844" max="3844" width="9.140625" style="2" customWidth="1"/>
    <col min="3845" max="3845" width="12" style="2" bestFit="1" customWidth="1"/>
    <col min="3846" max="3846" width="43.28515625" style="2" customWidth="1"/>
    <col min="3847" max="4099" width="11.42578125" style="2"/>
    <col min="4100" max="4100" width="9.140625" style="2" customWidth="1"/>
    <col min="4101" max="4101" width="12" style="2" bestFit="1" customWidth="1"/>
    <col min="4102" max="4102" width="43.28515625" style="2" customWidth="1"/>
    <col min="4103" max="4355" width="11.42578125" style="2"/>
    <col min="4356" max="4356" width="9.140625" style="2" customWidth="1"/>
    <col min="4357" max="4357" width="12" style="2" bestFit="1" customWidth="1"/>
    <col min="4358" max="4358" width="43.28515625" style="2" customWidth="1"/>
    <col min="4359" max="4611" width="11.42578125" style="2"/>
    <col min="4612" max="4612" width="9.140625" style="2" customWidth="1"/>
    <col min="4613" max="4613" width="12" style="2" bestFit="1" customWidth="1"/>
    <col min="4614" max="4614" width="43.28515625" style="2" customWidth="1"/>
    <col min="4615" max="4867" width="11.42578125" style="2"/>
    <col min="4868" max="4868" width="9.140625" style="2" customWidth="1"/>
    <col min="4869" max="4869" width="12" style="2" bestFit="1" customWidth="1"/>
    <col min="4870" max="4870" width="43.28515625" style="2" customWidth="1"/>
    <col min="4871" max="5123" width="11.42578125" style="2"/>
    <col min="5124" max="5124" width="9.140625" style="2" customWidth="1"/>
    <col min="5125" max="5125" width="12" style="2" bestFit="1" customWidth="1"/>
    <col min="5126" max="5126" width="43.28515625" style="2" customWidth="1"/>
    <col min="5127" max="5379" width="11.42578125" style="2"/>
    <col min="5380" max="5380" width="9.140625" style="2" customWidth="1"/>
    <col min="5381" max="5381" width="12" style="2" bestFit="1" customWidth="1"/>
    <col min="5382" max="5382" width="43.28515625" style="2" customWidth="1"/>
    <col min="5383" max="5635" width="11.42578125" style="2"/>
    <col min="5636" max="5636" width="9.140625" style="2" customWidth="1"/>
    <col min="5637" max="5637" width="12" style="2" bestFit="1" customWidth="1"/>
    <col min="5638" max="5638" width="43.28515625" style="2" customWidth="1"/>
    <col min="5639" max="5891" width="11.42578125" style="2"/>
    <col min="5892" max="5892" width="9.140625" style="2" customWidth="1"/>
    <col min="5893" max="5893" width="12" style="2" bestFit="1" customWidth="1"/>
    <col min="5894" max="5894" width="43.28515625" style="2" customWidth="1"/>
    <col min="5895" max="6147" width="11.42578125" style="2"/>
    <col min="6148" max="6148" width="9.140625" style="2" customWidth="1"/>
    <col min="6149" max="6149" width="12" style="2" bestFit="1" customWidth="1"/>
    <col min="6150" max="6150" width="43.28515625" style="2" customWidth="1"/>
    <col min="6151" max="6403" width="11.42578125" style="2"/>
    <col min="6404" max="6404" width="9.140625" style="2" customWidth="1"/>
    <col min="6405" max="6405" width="12" style="2" bestFit="1" customWidth="1"/>
    <col min="6406" max="6406" width="43.28515625" style="2" customWidth="1"/>
    <col min="6407" max="6659" width="11.42578125" style="2"/>
    <col min="6660" max="6660" width="9.140625" style="2" customWidth="1"/>
    <col min="6661" max="6661" width="12" style="2" bestFit="1" customWidth="1"/>
    <col min="6662" max="6662" width="43.28515625" style="2" customWidth="1"/>
    <col min="6663" max="6915" width="11.42578125" style="2"/>
    <col min="6916" max="6916" width="9.140625" style="2" customWidth="1"/>
    <col min="6917" max="6917" width="12" style="2" bestFit="1" customWidth="1"/>
    <col min="6918" max="6918" width="43.28515625" style="2" customWidth="1"/>
    <col min="6919" max="7171" width="11.42578125" style="2"/>
    <col min="7172" max="7172" width="9.140625" style="2" customWidth="1"/>
    <col min="7173" max="7173" width="12" style="2" bestFit="1" customWidth="1"/>
    <col min="7174" max="7174" width="43.28515625" style="2" customWidth="1"/>
    <col min="7175" max="7427" width="11.42578125" style="2"/>
    <col min="7428" max="7428" width="9.140625" style="2" customWidth="1"/>
    <col min="7429" max="7429" width="12" style="2" bestFit="1" customWidth="1"/>
    <col min="7430" max="7430" width="43.28515625" style="2" customWidth="1"/>
    <col min="7431" max="7683" width="11.42578125" style="2"/>
    <col min="7684" max="7684" width="9.140625" style="2" customWidth="1"/>
    <col min="7685" max="7685" width="12" style="2" bestFit="1" customWidth="1"/>
    <col min="7686" max="7686" width="43.28515625" style="2" customWidth="1"/>
    <col min="7687" max="7939" width="11.42578125" style="2"/>
    <col min="7940" max="7940" width="9.140625" style="2" customWidth="1"/>
    <col min="7941" max="7941" width="12" style="2" bestFit="1" customWidth="1"/>
    <col min="7942" max="7942" width="43.28515625" style="2" customWidth="1"/>
    <col min="7943" max="8195" width="11.42578125" style="2"/>
    <col min="8196" max="8196" width="9.140625" style="2" customWidth="1"/>
    <col min="8197" max="8197" width="12" style="2" bestFit="1" customWidth="1"/>
    <col min="8198" max="8198" width="43.28515625" style="2" customWidth="1"/>
    <col min="8199" max="8451" width="11.42578125" style="2"/>
    <col min="8452" max="8452" width="9.140625" style="2" customWidth="1"/>
    <col min="8453" max="8453" width="12" style="2" bestFit="1" customWidth="1"/>
    <col min="8454" max="8454" width="43.28515625" style="2" customWidth="1"/>
    <col min="8455" max="8707" width="11.42578125" style="2"/>
    <col min="8708" max="8708" width="9.140625" style="2" customWidth="1"/>
    <col min="8709" max="8709" width="12" style="2" bestFit="1" customWidth="1"/>
    <col min="8710" max="8710" width="43.28515625" style="2" customWidth="1"/>
    <col min="8711" max="8963" width="11.42578125" style="2"/>
    <col min="8964" max="8964" width="9.140625" style="2" customWidth="1"/>
    <col min="8965" max="8965" width="12" style="2" bestFit="1" customWidth="1"/>
    <col min="8966" max="8966" width="43.28515625" style="2" customWidth="1"/>
    <col min="8967" max="9219" width="11.42578125" style="2"/>
    <col min="9220" max="9220" width="9.140625" style="2" customWidth="1"/>
    <col min="9221" max="9221" width="12" style="2" bestFit="1" customWidth="1"/>
    <col min="9222" max="9222" width="43.28515625" style="2" customWidth="1"/>
    <col min="9223" max="9475" width="11.42578125" style="2"/>
    <col min="9476" max="9476" width="9.140625" style="2" customWidth="1"/>
    <col min="9477" max="9477" width="12" style="2" bestFit="1" customWidth="1"/>
    <col min="9478" max="9478" width="43.28515625" style="2" customWidth="1"/>
    <col min="9479" max="9731" width="11.42578125" style="2"/>
    <col min="9732" max="9732" width="9.140625" style="2" customWidth="1"/>
    <col min="9733" max="9733" width="12" style="2" bestFit="1" customWidth="1"/>
    <col min="9734" max="9734" width="43.28515625" style="2" customWidth="1"/>
    <col min="9735" max="9987" width="11.42578125" style="2"/>
    <col min="9988" max="9988" width="9.140625" style="2" customWidth="1"/>
    <col min="9989" max="9989" width="12" style="2" bestFit="1" customWidth="1"/>
    <col min="9990" max="9990" width="43.28515625" style="2" customWidth="1"/>
    <col min="9991" max="10243" width="11.42578125" style="2"/>
    <col min="10244" max="10244" width="9.140625" style="2" customWidth="1"/>
    <col min="10245" max="10245" width="12" style="2" bestFit="1" customWidth="1"/>
    <col min="10246" max="10246" width="43.28515625" style="2" customWidth="1"/>
    <col min="10247" max="10499" width="11.42578125" style="2"/>
    <col min="10500" max="10500" width="9.140625" style="2" customWidth="1"/>
    <col min="10501" max="10501" width="12" style="2" bestFit="1" customWidth="1"/>
    <col min="10502" max="10502" width="43.28515625" style="2" customWidth="1"/>
    <col min="10503" max="10755" width="11.42578125" style="2"/>
    <col min="10756" max="10756" width="9.140625" style="2" customWidth="1"/>
    <col min="10757" max="10757" width="12" style="2" bestFit="1" customWidth="1"/>
    <col min="10758" max="10758" width="43.28515625" style="2" customWidth="1"/>
    <col min="10759" max="11011" width="11.42578125" style="2"/>
    <col min="11012" max="11012" width="9.140625" style="2" customWidth="1"/>
    <col min="11013" max="11013" width="12" style="2" bestFit="1" customWidth="1"/>
    <col min="11014" max="11014" width="43.28515625" style="2" customWidth="1"/>
    <col min="11015" max="11267" width="11.42578125" style="2"/>
    <col min="11268" max="11268" width="9.140625" style="2" customWidth="1"/>
    <col min="11269" max="11269" width="12" style="2" bestFit="1" customWidth="1"/>
    <col min="11270" max="11270" width="43.28515625" style="2" customWidth="1"/>
    <col min="11271" max="11523" width="11.42578125" style="2"/>
    <col min="11524" max="11524" width="9.140625" style="2" customWidth="1"/>
    <col min="11525" max="11525" width="12" style="2" bestFit="1" customWidth="1"/>
    <col min="11526" max="11526" width="43.28515625" style="2" customWidth="1"/>
    <col min="11527" max="11779" width="11.42578125" style="2"/>
    <col min="11780" max="11780" width="9.140625" style="2" customWidth="1"/>
    <col min="11781" max="11781" width="12" style="2" bestFit="1" customWidth="1"/>
    <col min="11782" max="11782" width="43.28515625" style="2" customWidth="1"/>
    <col min="11783" max="12035" width="11.42578125" style="2"/>
    <col min="12036" max="12036" width="9.140625" style="2" customWidth="1"/>
    <col min="12037" max="12037" width="12" style="2" bestFit="1" customWidth="1"/>
    <col min="12038" max="12038" width="43.28515625" style="2" customWidth="1"/>
    <col min="12039" max="12291" width="11.42578125" style="2"/>
    <col min="12292" max="12292" width="9.140625" style="2" customWidth="1"/>
    <col min="12293" max="12293" width="12" style="2" bestFit="1" customWidth="1"/>
    <col min="12294" max="12294" width="43.28515625" style="2" customWidth="1"/>
    <col min="12295" max="12547" width="11.42578125" style="2"/>
    <col min="12548" max="12548" width="9.140625" style="2" customWidth="1"/>
    <col min="12549" max="12549" width="12" style="2" bestFit="1" customWidth="1"/>
    <col min="12550" max="12550" width="43.28515625" style="2" customWidth="1"/>
    <col min="12551" max="12803" width="11.42578125" style="2"/>
    <col min="12804" max="12804" width="9.140625" style="2" customWidth="1"/>
    <col min="12805" max="12805" width="12" style="2" bestFit="1" customWidth="1"/>
    <col min="12806" max="12806" width="43.28515625" style="2" customWidth="1"/>
    <col min="12807" max="13059" width="11.42578125" style="2"/>
    <col min="13060" max="13060" width="9.140625" style="2" customWidth="1"/>
    <col min="13061" max="13061" width="12" style="2" bestFit="1" customWidth="1"/>
    <col min="13062" max="13062" width="43.28515625" style="2" customWidth="1"/>
    <col min="13063" max="13315" width="11.42578125" style="2"/>
    <col min="13316" max="13316" width="9.140625" style="2" customWidth="1"/>
    <col min="13317" max="13317" width="12" style="2" bestFit="1" customWidth="1"/>
    <col min="13318" max="13318" width="43.28515625" style="2" customWidth="1"/>
    <col min="13319" max="13571" width="11.42578125" style="2"/>
    <col min="13572" max="13572" width="9.140625" style="2" customWidth="1"/>
    <col min="13573" max="13573" width="12" style="2" bestFit="1" customWidth="1"/>
    <col min="13574" max="13574" width="43.28515625" style="2" customWidth="1"/>
    <col min="13575" max="13827" width="11.42578125" style="2"/>
    <col min="13828" max="13828" width="9.140625" style="2" customWidth="1"/>
    <col min="13829" max="13829" width="12" style="2" bestFit="1" customWidth="1"/>
    <col min="13830" max="13830" width="43.28515625" style="2" customWidth="1"/>
    <col min="13831" max="14083" width="11.42578125" style="2"/>
    <col min="14084" max="14084" width="9.140625" style="2" customWidth="1"/>
    <col min="14085" max="14085" width="12" style="2" bestFit="1" customWidth="1"/>
    <col min="14086" max="14086" width="43.28515625" style="2" customWidth="1"/>
    <col min="14087" max="14339" width="11.42578125" style="2"/>
    <col min="14340" max="14340" width="9.140625" style="2" customWidth="1"/>
    <col min="14341" max="14341" width="12" style="2" bestFit="1" customWidth="1"/>
    <col min="14342" max="14342" width="43.28515625" style="2" customWidth="1"/>
    <col min="14343" max="14595" width="11.42578125" style="2"/>
    <col min="14596" max="14596" width="9.140625" style="2" customWidth="1"/>
    <col min="14597" max="14597" width="12" style="2" bestFit="1" customWidth="1"/>
    <col min="14598" max="14598" width="43.28515625" style="2" customWidth="1"/>
    <col min="14599" max="14851" width="11.42578125" style="2"/>
    <col min="14852" max="14852" width="9.140625" style="2" customWidth="1"/>
    <col min="14853" max="14853" width="12" style="2" bestFit="1" customWidth="1"/>
    <col min="14854" max="14854" width="43.28515625" style="2" customWidth="1"/>
    <col min="14855" max="15107" width="11.42578125" style="2"/>
    <col min="15108" max="15108" width="9.140625" style="2" customWidth="1"/>
    <col min="15109" max="15109" width="12" style="2" bestFit="1" customWidth="1"/>
    <col min="15110" max="15110" width="43.28515625" style="2" customWidth="1"/>
    <col min="15111" max="15363" width="11.42578125" style="2"/>
    <col min="15364" max="15364" width="9.140625" style="2" customWidth="1"/>
    <col min="15365" max="15365" width="12" style="2" bestFit="1" customWidth="1"/>
    <col min="15366" max="15366" width="43.28515625" style="2" customWidth="1"/>
    <col min="15367" max="15619" width="11.42578125" style="2"/>
    <col min="15620" max="15620" width="9.140625" style="2" customWidth="1"/>
    <col min="15621" max="15621" width="12" style="2" bestFit="1" customWidth="1"/>
    <col min="15622" max="15622" width="43.28515625" style="2" customWidth="1"/>
    <col min="15623" max="15875" width="11.42578125" style="2"/>
    <col min="15876" max="15876" width="9.140625" style="2" customWidth="1"/>
    <col min="15877" max="15877" width="12" style="2" bestFit="1" customWidth="1"/>
    <col min="15878" max="15878" width="43.28515625" style="2" customWidth="1"/>
    <col min="15879" max="16131" width="11.42578125" style="2"/>
    <col min="16132" max="16132" width="9.140625" style="2" customWidth="1"/>
    <col min="16133" max="16133" width="12" style="2" bestFit="1" customWidth="1"/>
    <col min="16134" max="16134" width="43.28515625" style="2" customWidth="1"/>
    <col min="16135" max="16384" width="11.42578125" style="2"/>
  </cols>
  <sheetData>
    <row r="7" spans="4:7" ht="30" customHeight="1">
      <c r="D7" s="14" t="s">
        <v>273</v>
      </c>
      <c r="E7" s="14"/>
      <c r="F7" s="14"/>
      <c r="G7" s="14"/>
    </row>
    <row r="8" spans="4:7" ht="20.100000000000001" customHeight="1">
      <c r="D8" s="15"/>
      <c r="E8" s="1"/>
      <c r="F8" s="1"/>
      <c r="G8" s="1"/>
    </row>
    <row r="9" spans="4:7" ht="24.95" customHeight="1">
      <c r="D9" s="15"/>
      <c r="E9" s="24" t="s">
        <v>19</v>
      </c>
      <c r="F9" s="25"/>
      <c r="G9" s="25"/>
    </row>
    <row r="10" spans="4:7" ht="20.100000000000001" customHeight="1">
      <c r="D10" s="15"/>
      <c r="E10" s="1"/>
      <c r="F10" s="1"/>
      <c r="G10" s="1"/>
    </row>
    <row r="11" spans="4:7" ht="20.100000000000001" customHeight="1">
      <c r="D11" s="1"/>
      <c r="E11" s="16" t="s">
        <v>10</v>
      </c>
      <c r="F11" s="6"/>
      <c r="G11" s="6"/>
    </row>
    <row r="12" spans="4:7" ht="18.75" customHeight="1">
      <c r="D12" s="1"/>
      <c r="E12" s="1"/>
      <c r="F12" s="17"/>
      <c r="G12" s="1"/>
    </row>
    <row r="13" spans="4:7" ht="18.75" customHeight="1">
      <c r="D13" s="1"/>
      <c r="E13" s="1"/>
      <c r="F13" s="18" t="s">
        <v>274</v>
      </c>
      <c r="G13" s="1"/>
    </row>
    <row r="14" spans="4:7" ht="18.75" customHeight="1">
      <c r="D14" s="1"/>
      <c r="E14" s="1"/>
      <c r="F14" s="18" t="s">
        <v>220</v>
      </c>
      <c r="G14" s="1"/>
    </row>
    <row r="15" spans="4:7" ht="18.75" customHeight="1">
      <c r="D15" s="1"/>
      <c r="E15" s="1"/>
      <c r="F15" s="18" t="s">
        <v>221</v>
      </c>
      <c r="G15" s="1"/>
    </row>
    <row r="16" spans="4:7" ht="18.75" customHeight="1">
      <c r="D16" s="1"/>
      <c r="E16" s="1"/>
      <c r="F16" s="18" t="s">
        <v>222</v>
      </c>
      <c r="G16" s="1"/>
    </row>
    <row r="17" spans="4:10" ht="18.75" customHeight="1">
      <c r="D17" s="1"/>
      <c r="E17" s="1"/>
      <c r="F17" s="18" t="s">
        <v>252</v>
      </c>
      <c r="G17" s="1"/>
    </row>
    <row r="18" spans="4:10" ht="20.100000000000001" customHeight="1">
      <c r="D18" s="1"/>
      <c r="E18" s="1"/>
      <c r="F18" s="17"/>
      <c r="G18" s="1"/>
    </row>
    <row r="19" spans="4:10" ht="20.100000000000001" customHeight="1">
      <c r="D19" s="15"/>
      <c r="E19" s="24" t="str">
        <f>actualizaciones!A2</f>
        <v xml:space="preserve">acumulado julio 2010 </v>
      </c>
      <c r="F19" s="25"/>
      <c r="G19" s="25"/>
    </row>
    <row r="20" spans="4:10" ht="20.100000000000001" customHeight="1">
      <c r="D20" s="15"/>
      <c r="E20" s="1"/>
      <c r="F20" s="1"/>
      <c r="G20" s="1"/>
    </row>
    <row r="21" spans="4:10" ht="18.75" customHeight="1">
      <c r="D21" s="1"/>
      <c r="E21" s="16" t="s">
        <v>10</v>
      </c>
      <c r="F21" s="6"/>
      <c r="G21" s="6"/>
    </row>
    <row r="22" spans="4:10" ht="18.75" customHeight="1">
      <c r="D22" s="1"/>
      <c r="E22" s="1"/>
      <c r="F22" s="17"/>
      <c r="G22" s="1"/>
    </row>
    <row r="23" spans="4:10" ht="18.75" customHeight="1">
      <c r="D23" s="1"/>
      <c r="E23" s="1"/>
      <c r="F23" s="18" t="s">
        <v>11</v>
      </c>
      <c r="G23" s="1"/>
    </row>
    <row r="24" spans="4:10" ht="18.75" customHeight="1">
      <c r="D24" s="1"/>
      <c r="E24" s="1"/>
      <c r="F24" s="18" t="s">
        <v>224</v>
      </c>
      <c r="G24" s="1"/>
    </row>
    <row r="25" spans="4:10" ht="18.75" customHeight="1">
      <c r="D25" s="1"/>
      <c r="E25" s="1"/>
      <c r="F25" s="18" t="s">
        <v>13</v>
      </c>
      <c r="G25" s="1"/>
    </row>
    <row r="26" spans="4:10" ht="18.75" customHeight="1">
      <c r="D26" s="1"/>
      <c r="E26" s="1"/>
      <c r="F26" s="17"/>
      <c r="G26" s="1"/>
    </row>
    <row r="27" spans="4:10" ht="15" customHeight="1">
      <c r="D27" s="1"/>
      <c r="E27" s="16" t="s">
        <v>17</v>
      </c>
      <c r="F27" s="6"/>
      <c r="G27" s="6"/>
    </row>
    <row r="28" spans="4:10" ht="20.100000000000001" customHeight="1">
      <c r="D28" s="1"/>
      <c r="E28" s="1"/>
      <c r="F28" s="17"/>
      <c r="G28" s="1"/>
    </row>
    <row r="29" spans="4:10" ht="18.75" customHeight="1">
      <c r="D29" s="1"/>
      <c r="E29" s="1"/>
      <c r="F29" s="18" t="s">
        <v>226</v>
      </c>
      <c r="G29" s="1"/>
    </row>
    <row r="30" spans="4:10" ht="18.75" customHeight="1">
      <c r="D30" s="1"/>
      <c r="E30" s="1"/>
      <c r="F30" s="18" t="s">
        <v>227</v>
      </c>
      <c r="G30" s="1"/>
      <c r="H30" s="12"/>
      <c r="I30" s="12"/>
      <c r="J30" s="12"/>
    </row>
    <row r="31" spans="4:10" ht="18.75" customHeight="1">
      <c r="D31" s="1"/>
      <c r="E31" s="1"/>
      <c r="F31" s="18" t="s">
        <v>275</v>
      </c>
      <c r="G31" s="1"/>
    </row>
    <row r="32" spans="4:10" ht="15" customHeight="1">
      <c r="D32" s="1"/>
      <c r="E32" s="1"/>
      <c r="F32" s="321"/>
      <c r="G32" s="1"/>
    </row>
    <row r="33" spans="4:7" ht="15" customHeight="1">
      <c r="D33" s="21"/>
    </row>
    <row r="34" spans="4:7" ht="15" customHeight="1"/>
    <row r="35" spans="4:7" ht="20.100000000000001" customHeight="1">
      <c r="D35" s="11" t="s">
        <v>8</v>
      </c>
      <c r="E35" s="11"/>
      <c r="F35" s="11"/>
      <c r="G35" s="11"/>
    </row>
    <row r="36" spans="4:7" ht="20.100000000000001" customHeight="1"/>
    <row r="37" spans="4:7" ht="20.100000000000001" customHeight="1"/>
    <row r="38" spans="4:7" ht="15" customHeight="1">
      <c r="E38" s="22"/>
      <c r="F38" s="23"/>
    </row>
    <row r="39" spans="4:7" ht="15" customHeight="1"/>
    <row r="40" spans="4:7" ht="15" customHeight="1">
      <c r="D40" s="21"/>
    </row>
    <row r="41" spans="4:7" ht="15" customHeight="1">
      <c r="D41" s="12"/>
      <c r="E41" s="12"/>
      <c r="F41" s="12"/>
      <c r="G41" s="12"/>
    </row>
    <row r="42" spans="4:7" ht="15" customHeight="1"/>
    <row r="43" spans="4:7" ht="15" customHeight="1"/>
    <row r="44" spans="4:7" ht="15" customHeight="1"/>
    <row r="45" spans="4:7" ht="15" customHeight="1">
      <c r="D45" s="21"/>
    </row>
    <row r="46" spans="4:7" ht="15" customHeight="1"/>
    <row r="47" spans="4:7" ht="15" customHeight="1"/>
    <row r="48" spans="4:7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</sheetData>
  <mergeCells count="2">
    <mergeCell ref="D7:G7"/>
    <mergeCell ref="D35:G35"/>
  </mergeCells>
  <hyperlinks>
    <hyperlink ref="F14" location="'Tablas evol EM zona'!A1" tooltip="Zonas y tipología de establecimiento" display="Evolución anual por zona turística y tipología de establecimiento"/>
    <hyperlink ref="F16" location="'tablas evol EM CAT'!A1" tooltip="Tipología y categoría de establecimiento" display="Evolución anual por tipología y categoría de los establecimientos"/>
    <hyperlink ref="F23" location="'EM Tipología'!A1" tooltip="Tipología de establecimiento" display="Tipología de establecimiento"/>
    <hyperlink ref="F24" location="'EM zonas y tipología '!A1" tooltip="Zonas y tipología de establecimiento" display="Zona turística y tipología de establecimiento"/>
    <hyperlink ref="F25" location="'EM tipología y categoría'!A1" tooltip="Tipología y categoría de establecimiento" display="Tipología y categoría de establecimiento"/>
    <hyperlink ref="F29" location="'gráfico EM zona y tipología'!A1" tooltip="Gráfica zona y tipología" display="Zona turística y tipología alojativa"/>
    <hyperlink ref="F30" location="'Gráfica EM tipología'!A1" tooltip="Gráfica tipología y categoría EM" display="Tipología y categoría alojativa"/>
    <hyperlink ref="F13" location="'EM evolución mensual'!A1" tooltip="Evolución mensual EM" display="Evolución mensual"/>
    <hyperlink ref="F31" location="'Gráfica evolución mensual EM'!A1" tooltip="Gráfica evolución mensual EM" display="Evolución mensual"/>
    <hyperlink ref="F15" location="'evolución EM zona'!A1" tooltip="Variación interanual por zona turística y tipología de establecimiento" display="Variación interanual por zona turística y tipología de establecimiento"/>
    <hyperlink ref="F17" location="'evolución EM CAT'!A1" tooltip="Variación interanual por tipología y categoría de los establecimientos" display="Variación interanual por tipología y categoría de los establecimientos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C2:L71"/>
  <sheetViews>
    <sheetView showGridLines="0" showRowColHeaders="0" topLeftCell="E1" zoomScaleNormal="100" workbookViewId="0">
      <selection activeCell="B25" sqref="B25"/>
    </sheetView>
  </sheetViews>
  <sheetFormatPr baseColWidth="10" defaultRowHeight="15" outlineLevelRow="1"/>
  <cols>
    <col min="1" max="1" width="14.7109375" style="121" customWidth="1"/>
    <col min="2" max="4" width="11.42578125" style="121"/>
    <col min="5" max="5" width="13.85546875" style="121" customWidth="1"/>
    <col min="6" max="7" width="11.42578125" style="121"/>
    <col min="8" max="8" width="14.140625" style="121" customWidth="1"/>
    <col min="9" max="10" width="11.42578125" style="121"/>
    <col min="11" max="11" width="14.28515625" style="121" customWidth="1"/>
    <col min="12" max="16384" width="11.42578125" style="121"/>
  </cols>
  <sheetData>
    <row r="2" spans="3:12" ht="44.25" customHeight="1"/>
    <row r="3" spans="3:12" ht="27" customHeight="1">
      <c r="C3" s="122" t="s">
        <v>276</v>
      </c>
      <c r="D3" s="122"/>
      <c r="E3" s="122"/>
      <c r="F3" s="122"/>
      <c r="G3" s="122"/>
      <c r="H3" s="122"/>
      <c r="I3" s="122"/>
      <c r="J3" s="122"/>
      <c r="K3" s="122"/>
      <c r="L3" s="122"/>
    </row>
    <row r="4" spans="3:12" ht="15" customHeight="1">
      <c r="C4" s="123"/>
      <c r="D4" s="124" t="s">
        <v>89</v>
      </c>
      <c r="E4" s="125"/>
      <c r="F4" s="125"/>
      <c r="G4" s="124" t="s">
        <v>92</v>
      </c>
      <c r="H4" s="125"/>
      <c r="I4" s="125"/>
      <c r="J4" s="124" t="s">
        <v>93</v>
      </c>
      <c r="K4" s="125"/>
      <c r="L4" s="125"/>
    </row>
    <row r="5" spans="3:12" ht="30">
      <c r="C5" s="127"/>
      <c r="D5" s="128" t="s">
        <v>94</v>
      </c>
      <c r="E5" s="128" t="s">
        <v>95</v>
      </c>
      <c r="F5" s="128" t="s">
        <v>69</v>
      </c>
      <c r="G5" s="128" t="s">
        <v>94</v>
      </c>
      <c r="H5" s="128" t="s">
        <v>95</v>
      </c>
      <c r="I5" s="128" t="s">
        <v>69</v>
      </c>
      <c r="J5" s="128" t="s">
        <v>96</v>
      </c>
      <c r="K5" s="128" t="s">
        <v>95</v>
      </c>
      <c r="L5" s="128" t="s">
        <v>36</v>
      </c>
    </row>
    <row r="6" spans="3:12" hidden="1">
      <c r="C6" s="51" t="s">
        <v>37</v>
      </c>
      <c r="D6" s="342">
        <f>GETPIVOTDATA("dato",'[1]tabla dinámica EM'!$A$58,"categoría","Hoteleros","mes",12,"año",2010)</f>
        <v>0</v>
      </c>
      <c r="E6" s="342">
        <f>GETPIVOTDATA("dato",'[1]tabla dinámica EM'!$A$58,"categoría","EXTRAHOTELEROS","mes",12,"año",2010)</f>
        <v>0</v>
      </c>
      <c r="F6" s="342">
        <f>GETPIVOTDATA("dato",'[1]tabla dinámica EM'!$A$58,"categoría","TOTAL","mes",12,"año",2010)</f>
        <v>0</v>
      </c>
      <c r="G6" s="342">
        <f>GETPIVOTDATA("Suma de hotel z4",'[1]tabla dinámica EM men'!$A$4,"MES","12","AÑO",2010)</f>
        <v>0</v>
      </c>
      <c r="H6" s="342">
        <f>GETPIVOTDATA("Suma de extra-h z4",'[1]tabla dinámica EM men'!$A$4,"MES","12","AÑO",2010)</f>
        <v>0</v>
      </c>
      <c r="I6" s="342">
        <f>GETPIVOTDATA("Suma de TOTAL z4",'[1]tabla dinámica EM men'!$A$4,"MES","12","AÑO",2010)</f>
        <v>0</v>
      </c>
      <c r="J6" s="342">
        <f>GETPIVOTDATA("Suma de TOTAL HOTELERO",'[1]tabla dinámica EM men'!$A$4,"MES","12","AÑO",2010)</f>
        <v>0</v>
      </c>
      <c r="K6" s="342">
        <f>GETPIVOTDATA("Suma de extrahoteleros",'[1]tabla dinámica EM men'!$A$4,"MES","12","AÑO",2010)</f>
        <v>0</v>
      </c>
      <c r="L6" s="342">
        <f>GETPIVOTDATA("Suma de TOTAL general",'[1]tabla dinámica EM men'!$A$4,"MES","12","AÑO",2010)</f>
        <v>0</v>
      </c>
    </row>
    <row r="7" spans="3:12" hidden="1">
      <c r="C7" s="51" t="s">
        <v>38</v>
      </c>
      <c r="D7" s="342">
        <f>GETPIVOTDATA("dato",'[1]tabla dinámica EM'!$A$58,"categoría","Hoteleros","mes",11,"año",2010)</f>
        <v>0</v>
      </c>
      <c r="E7" s="342">
        <f>GETPIVOTDATA("dato",'[1]tabla dinámica EM'!$A$58,"categoría","EXTRAHOTELEROS","mes",11,"año",2010)</f>
        <v>0</v>
      </c>
      <c r="F7" s="342">
        <f>GETPIVOTDATA("dato",'[1]tabla dinámica EM'!$A$58,"categoría","TOTAL","mes",11,"año",2010)</f>
        <v>0</v>
      </c>
      <c r="G7" s="342">
        <f>GETPIVOTDATA("Suma de hotel z4",'[1]tabla dinámica EM men'!$A$4,"MES","11","AÑO",2010)</f>
        <v>0</v>
      </c>
      <c r="H7" s="342">
        <f>GETPIVOTDATA("Suma de extra-h z4",'[1]tabla dinámica EM men'!$A$4,"MES","11","AÑO",2010)</f>
        <v>0</v>
      </c>
      <c r="I7" s="342">
        <f>GETPIVOTDATA("Suma de TOTAL z4",'[1]tabla dinámica EM men'!$A$4,"MES","11","AÑO",2010)</f>
        <v>0</v>
      </c>
      <c r="J7" s="342">
        <f>GETPIVOTDATA("Suma de TOTAL HOTELERO",'[1]tabla dinámica EM men'!$A$4,"MES","11","AÑO",2010)</f>
        <v>0</v>
      </c>
      <c r="K7" s="342">
        <f>GETPIVOTDATA("Suma de extrahoteleros",'[1]tabla dinámica EM men'!$A$4,"MES","11","AÑO",2010)</f>
        <v>0</v>
      </c>
      <c r="L7" s="342">
        <f>GETPIVOTDATA("Suma de TOTAL general",'[1]tabla dinámica EM men'!$A$4,"MES","11","AÑO",2010)</f>
        <v>0</v>
      </c>
    </row>
    <row r="8" spans="3:12" hidden="1">
      <c r="C8" s="51" t="s">
        <v>39</v>
      </c>
      <c r="D8" s="342">
        <f>GETPIVOTDATA("dato",'[1]tabla dinámica EM'!$A$58,"categoría","Hoteleros","mes",10,"año",2010)</f>
        <v>0</v>
      </c>
      <c r="E8" s="342">
        <f>GETPIVOTDATA("dato",'[1]tabla dinámica EM'!$A$58,"categoría","EXTRAHOTELEROS","mes",10,"año",2010)</f>
        <v>0</v>
      </c>
      <c r="F8" s="342">
        <f>GETPIVOTDATA("dato",'[1]tabla dinámica EM'!$A$58,"categoría","TOTAL","mes",10,"año",2010)</f>
        <v>0</v>
      </c>
      <c r="G8" s="342">
        <f>GETPIVOTDATA("Suma de hotel z4",'[1]tabla dinámica EM men'!$A$4,"MES","10","AÑO",2010)</f>
        <v>0</v>
      </c>
      <c r="H8" s="342">
        <f>GETPIVOTDATA("Suma de extra-h z4",'[1]tabla dinámica EM men'!$A$4,"MES","10","AÑO",2010)</f>
        <v>0</v>
      </c>
      <c r="I8" s="342">
        <f>GETPIVOTDATA("Suma de TOTAL z4",'[1]tabla dinámica EM men'!$A$4,"MES","10","AÑO",2010)</f>
        <v>0</v>
      </c>
      <c r="J8" s="342">
        <f>GETPIVOTDATA("Suma de TOTAL HOTELERO",'[1]tabla dinámica EM men'!$A$4,"MES","10","AÑO",2010)</f>
        <v>0</v>
      </c>
      <c r="K8" s="342">
        <f>GETPIVOTDATA("Suma de extrahoteleros",'[1]tabla dinámica EM men'!$A$4,"MES","10","AÑO",2010)</f>
        <v>0</v>
      </c>
      <c r="L8" s="342">
        <f>GETPIVOTDATA("Suma de TOTAL general",'[1]tabla dinámica EM men'!$A$4,"MES","10","AÑO",2010)</f>
        <v>0</v>
      </c>
    </row>
    <row r="9" spans="3:12" hidden="1">
      <c r="C9" s="51" t="s">
        <v>40</v>
      </c>
      <c r="D9" s="342">
        <f>GETPIVOTDATA("dato",'[1]tabla dinámica EM'!$A$58,"categoría","Hoteleros","mes",9,"año",2010)</f>
        <v>0</v>
      </c>
      <c r="E9" s="342">
        <f>GETPIVOTDATA("dato",'[1]tabla dinámica EM'!$A$58,"categoría","EXTRAHOTELEROS","mes",9,"año",2010)</f>
        <v>0</v>
      </c>
      <c r="F9" s="342">
        <f>GETPIVOTDATA("dato",'[1]tabla dinámica EM'!$A$58,"categoría","TOTAL","mes",9,"año",2010)</f>
        <v>0</v>
      </c>
      <c r="G9" s="342">
        <f>GETPIVOTDATA("Suma de hotel z4",'[1]tabla dinámica EM men'!$A$4,"MES","9","AÑO",2010)</f>
        <v>0</v>
      </c>
      <c r="H9" s="342">
        <f>GETPIVOTDATA("Suma de extra-h z4",'[1]tabla dinámica EM men'!$A$4,"MES","9","AÑO",2010)</f>
        <v>0</v>
      </c>
      <c r="I9" s="342">
        <f>GETPIVOTDATA("Suma de TOTAL z4",'[1]tabla dinámica EM men'!$A$4,"MES","9","AÑO",2010)</f>
        <v>0</v>
      </c>
      <c r="J9" s="342">
        <f>GETPIVOTDATA("Suma de TOTAL HOTELERO",'[1]tabla dinámica EM men'!$A$4,"MES","9","AÑO",2010)</f>
        <v>0</v>
      </c>
      <c r="K9" s="342">
        <f>GETPIVOTDATA("Suma de extrahoteleros",'[1]tabla dinámica EM men'!$A$4,"MES","9","AÑO",2010)</f>
        <v>0</v>
      </c>
      <c r="L9" s="342">
        <f>GETPIVOTDATA("Suma de TOTAL general",'[1]tabla dinámica EM men'!$A$4,"MES","9","AÑO",2010)</f>
        <v>0</v>
      </c>
    </row>
    <row r="10" spans="3:12" hidden="1">
      <c r="C10" s="51" t="s">
        <v>41</v>
      </c>
      <c r="D10" s="342">
        <f>GETPIVOTDATA("dato",'[1]tabla dinámica EM'!$A$58,"categoría","Hoteleros","mes",8,"año",2010)</f>
        <v>0</v>
      </c>
      <c r="E10" s="342">
        <f>GETPIVOTDATA("dato",'[1]tabla dinámica EM'!$A$58,"categoría","EXTRAHOTELEROS","mes",8,"año",2010)</f>
        <v>0</v>
      </c>
      <c r="F10" s="342">
        <f>GETPIVOTDATA("dato",'[1]tabla dinámica EM'!$A$58,"categoría","TOTAL","mes",8,"año",2010)</f>
        <v>0</v>
      </c>
      <c r="G10" s="342">
        <f>GETPIVOTDATA("Suma de hotel z4",'[1]tabla dinámica EM men'!$A$4,"MES","8","AÑO",2010)</f>
        <v>0</v>
      </c>
      <c r="H10" s="342">
        <f>GETPIVOTDATA("Suma de extra-h z4",'[1]tabla dinámica EM men'!$A$4,"MES","8","AÑO",2010)</f>
        <v>0</v>
      </c>
      <c r="I10" s="342">
        <f>GETPIVOTDATA("Suma de TOTAL z4",'[1]tabla dinámica EM men'!$A$4,"MES","8","AÑO",2010)</f>
        <v>0</v>
      </c>
      <c r="J10" s="342">
        <f>GETPIVOTDATA("Suma de TOTAL HOTELERO",'[1]tabla dinámica EM men'!$A$4,"MES","8","AÑO",2010)</f>
        <v>0</v>
      </c>
      <c r="K10" s="342">
        <f>GETPIVOTDATA("Suma de extrahoteleros",'[1]tabla dinámica EM men'!$A$4,"MES","8","AÑO",2010)</f>
        <v>0</v>
      </c>
      <c r="L10" s="342">
        <f>GETPIVOTDATA("Suma de TOTAL general",'[1]tabla dinámica EM men'!$A$4,"MES","8","AÑO",2010)</f>
        <v>0</v>
      </c>
    </row>
    <row r="11" spans="3:12">
      <c r="C11" s="51" t="s">
        <v>42</v>
      </c>
      <c r="D11" s="342">
        <f>GETPIVOTDATA("dato",'[1]tabla dinámica EM'!$A$58,"categoría","Hoteleros","mes",7,"año",2010)</f>
        <v>7.9536549218339152</v>
      </c>
      <c r="E11" s="342">
        <f>GETPIVOTDATA("dato",'[1]tabla dinámica EM'!$A$58,"categoría","EXTRAHOTELEROS","mes",7,"año",2010)</f>
        <v>8.0718878644575245</v>
      </c>
      <c r="F11" s="342">
        <f>GETPIVOTDATA("dato",'[1]tabla dinámica EM'!$A$58,"categoría","TOTAL","mes",7,"año",2010)</f>
        <v>7.9961988357786877</v>
      </c>
      <c r="G11" s="342">
        <f>GETPIVOTDATA("Suma de hotel z4",'[1]tabla dinámica EM men'!$A$4,"MES","7","AÑO",2010)</f>
        <v>7.5335285348195926</v>
      </c>
      <c r="H11" s="342">
        <f>GETPIVOTDATA("Suma de extra-h z4",'[1]tabla dinámica EM men'!$A$4,"MES","7","AÑO",2010)</f>
        <v>7.735276907510575</v>
      </c>
      <c r="I11" s="342">
        <f>GETPIVOTDATA("Suma de TOTAL z4",'[1]tabla dinámica EM men'!$A$4,"MES","7","AÑO",2010)</f>
        <v>7.6231506552583124</v>
      </c>
      <c r="J11" s="342">
        <f>GETPIVOTDATA("Suma de TOTAL HOTELERO",'[1]tabla dinámica EM men'!$A$4,"MES","7","AÑO",2010)</f>
        <v>6.9889456488111854</v>
      </c>
      <c r="K11" s="342">
        <f>GETPIVOTDATA("Suma de extrahoteleros",'[1]tabla dinámica EM men'!$A$4,"MES","7","AÑO",2010)</f>
        <v>7.5239870035713325</v>
      </c>
      <c r="L11" s="342">
        <f>GETPIVOTDATA("Suma de TOTAL general",'[1]tabla dinámica EM men'!$A$4,"MES","7","AÑO",2010)</f>
        <v>7.2097221329657692</v>
      </c>
    </row>
    <row r="12" spans="3:12">
      <c r="C12" s="51" t="s">
        <v>43</v>
      </c>
      <c r="D12" s="342">
        <f>GETPIVOTDATA("dato",'[1]tabla dinámica EM'!$A$58,"categoría","Hoteleros","mes",6,"año",2010)</f>
        <v>7.4967521169237905</v>
      </c>
      <c r="E12" s="342">
        <f>GETPIVOTDATA("dato",'[1]tabla dinámica EM'!$A$58,"categoría","EXTRAHOTELEROS","mes",6,"año",2010)</f>
        <v>8.2073230725982143</v>
      </c>
      <c r="F12" s="342">
        <f>GETPIVOTDATA("dato",'[1]tabla dinámica EM'!$A$58,"categoría","TOTAL","mes",6,"año",2010)</f>
        <v>7.7320728954126166</v>
      </c>
      <c r="G12" s="342">
        <f>GETPIVOTDATA("Suma de hotel z4",'[1]tabla dinámica EM men'!$A$4,"MES","6","AÑO",2010)</f>
        <v>7.3037467584726814</v>
      </c>
      <c r="H12" s="342">
        <f>GETPIVOTDATA("Suma de extra-h z4",'[1]tabla dinámica EM men'!$A$4,"MES","6","AÑO",2010)</f>
        <v>7.9565522484065259</v>
      </c>
      <c r="I12" s="342">
        <f>GETPIVOTDATA("Suma de TOTAL z4",'[1]tabla dinámica EM men'!$A$4,"MES","6","AÑO",2010)</f>
        <v>7.5756021874956518</v>
      </c>
      <c r="J12" s="342">
        <f>GETPIVOTDATA("Suma de TOTAL HOTELERO",'[1]tabla dinámica EM men'!$A$4,"MES","6","AÑO",2010)</f>
        <v>6.7755757993181804</v>
      </c>
      <c r="K12" s="342">
        <f>GETPIVOTDATA("Suma de extrahoteleros",'[1]tabla dinámica EM men'!$A$4,"MES","6","AÑO",2010)</f>
        <v>7.6140606565341109</v>
      </c>
      <c r="L12" s="342">
        <f>GETPIVOTDATA("Suma de TOTAL general",'[1]tabla dinámica EM men'!$A$4,"MES","6","AÑO",2010)</f>
        <v>7.0978041995716685</v>
      </c>
    </row>
    <row r="13" spans="3:12">
      <c r="C13" s="51" t="s">
        <v>44</v>
      </c>
      <c r="D13" s="342">
        <f>GETPIVOTDATA("dato",'[1]tabla dinámica EM'!$A$58,"categoría","Hoteleros","mes",5,"año",2010)</f>
        <v>6.8250323834196891</v>
      </c>
      <c r="E13" s="342">
        <f>GETPIVOTDATA("dato",'[1]tabla dinámica EM'!$A$58,"categoría","EXTRAHOTELEROS","mes",5,"año",2010)</f>
        <v>8.0312695905112967</v>
      </c>
      <c r="F13" s="342">
        <f>GETPIVOTDATA("dato",'[1]tabla dinámica EM'!$A$58,"categoría","TOTAL","mes",5,"año",2010)</f>
        <v>7.188025867988741</v>
      </c>
      <c r="G13" s="342">
        <f>GETPIVOTDATA("Suma de hotel z4",'[1]tabla dinámica EM men'!$A$4,"MES","5","AÑO",2010)</f>
        <v>6.7519919059061593</v>
      </c>
      <c r="H13" s="342">
        <f>GETPIVOTDATA("Suma de extra-h z4",'[1]tabla dinámica EM men'!$A$4,"MES","5","AÑO",2010)</f>
        <v>7.7908575340691471</v>
      </c>
      <c r="I13" s="342">
        <f>GETPIVOTDATA("Suma de TOTAL z4",'[1]tabla dinámica EM men'!$A$4,"MES","5","AÑO",2010)</f>
        <v>7.1501224990515633</v>
      </c>
      <c r="J13" s="342">
        <f>GETPIVOTDATA("Suma de TOTAL HOTELERO",'[1]tabla dinámica EM men'!$A$4,"MES","5","AÑO",2010)</f>
        <v>6.3933373048356614</v>
      </c>
      <c r="K13" s="342">
        <f>GETPIVOTDATA("Suma de extrahoteleros",'[1]tabla dinámica EM men'!$A$4,"MES","5","AÑO",2010)</f>
        <v>7.5554122905726429</v>
      </c>
      <c r="L13" s="342">
        <f>GETPIVOTDATA("Suma de TOTAL general",'[1]tabla dinámica EM men'!$A$4,"MES","5","AÑO",2010)</f>
        <v>6.8049333373927823</v>
      </c>
    </row>
    <row r="14" spans="3:12">
      <c r="C14" s="51" t="s">
        <v>45</v>
      </c>
      <c r="D14" s="342">
        <f>GETPIVOTDATA("dato",'[1]tabla dinámica EM'!$A$58,"categoría","Hoteleros","mes",4,"año",2010)</f>
        <v>6.6357689279430776</v>
      </c>
      <c r="E14" s="342">
        <f>GETPIVOTDATA("dato",'[1]tabla dinámica EM'!$A$58,"categoría","EXTRAHOTELEROS","mes",4,"año",2010)</f>
        <v>7.0460416123869427</v>
      </c>
      <c r="F14" s="342">
        <f>GETPIVOTDATA("dato",'[1]tabla dinámica EM'!$A$58,"categoría","TOTAL","mes",4,"año",2010)</f>
        <v>6.7765354923983629</v>
      </c>
      <c r="G14" s="342">
        <f>GETPIVOTDATA("Suma de hotel z4",'[1]tabla dinámica EM men'!$A$4,"MES","4","AÑO",2010)</f>
        <v>6.3734864226742101</v>
      </c>
      <c r="H14" s="342">
        <f>GETPIVOTDATA("Suma de extra-h z4",'[1]tabla dinámica EM men'!$A$4,"MES","4","AÑO",2010)</f>
        <v>6.9116321516321513</v>
      </c>
      <c r="I14" s="342">
        <f>GETPIVOTDATA("Suma de TOTAL z4",'[1]tabla dinámica EM men'!$A$4,"MES","4","AÑO",2010)</f>
        <v>6.5987926276220232</v>
      </c>
      <c r="J14" s="342">
        <f>GETPIVOTDATA("Suma de TOTAL HOTELERO",'[1]tabla dinámica EM men'!$A$4,"MES","4","AÑO",2010)</f>
        <v>6.0891362105718434</v>
      </c>
      <c r="K14" s="342">
        <f>GETPIVOTDATA("Suma de extrahoteleros",'[1]tabla dinámica EM men'!$A$4,"MES","4","AÑO",2010)</f>
        <v>6.8940872998893621</v>
      </c>
      <c r="L14" s="342">
        <f>GETPIVOTDATA("Suma de TOTAL general",'[1]tabla dinámica EM men'!$A$4,"MES","4","AÑO",2010)</f>
        <v>6.4007866543288472</v>
      </c>
    </row>
    <row r="15" spans="3:12">
      <c r="C15" s="51" t="s">
        <v>46</v>
      </c>
      <c r="D15" s="342">
        <f>GETPIVOTDATA("dato",'[1]tabla dinámica EM'!$A$58,"categoría","Hoteleros","mes",3,"año",2010)</f>
        <v>7.6890262751159195</v>
      </c>
      <c r="E15" s="342">
        <f>GETPIVOTDATA("dato",'[1]tabla dinámica EM'!$A$58,"categoría","EXTRAHOTELEROS","mes",3,"año",2010)</f>
        <v>8.8797965788257045</v>
      </c>
      <c r="F15" s="342">
        <f>GETPIVOTDATA("dato",'[1]tabla dinámica EM'!$A$58,"categoría","TOTAL","mes",3,"año",2010)</f>
        <v>8.1111744543180677</v>
      </c>
      <c r="G15" s="342">
        <f>GETPIVOTDATA("Suma de hotel z4",'[1]tabla dinámica EM men'!$A$4,"MES","3","AÑO",2010)</f>
        <v>7.6481706318506015</v>
      </c>
      <c r="H15" s="342">
        <f>GETPIVOTDATA("Suma de extra-h z4",'[1]tabla dinámica EM men'!$A$4,"MES","3","AÑO",2010)</f>
        <v>8.7081276110900117</v>
      </c>
      <c r="I15" s="342">
        <f>GETPIVOTDATA("Suma de TOTAL z4",'[1]tabla dinámica EM men'!$A$4,"MES","3","AÑO",2010)</f>
        <v>8.1202136156484421</v>
      </c>
      <c r="J15" s="342">
        <f>GETPIVOTDATA("Suma de TOTAL HOTELERO",'[1]tabla dinámica EM men'!$A$4,"MES","3","AÑO",2010)</f>
        <v>7.2736123904354244</v>
      </c>
      <c r="K15" s="342">
        <f>GETPIVOTDATA("Suma de extrahoteleros",'[1]tabla dinámica EM men'!$A$4,"MES","3","AÑO",2010)</f>
        <v>8.715186640232556</v>
      </c>
      <c r="L15" s="342">
        <f>GETPIVOTDATA("Suma de TOTAL general",'[1]tabla dinámica EM men'!$A$4,"MES","3","AÑO",2010)</f>
        <v>7.8598306958386193</v>
      </c>
    </row>
    <row r="16" spans="3:12">
      <c r="C16" s="51" t="s">
        <v>47</v>
      </c>
      <c r="D16" s="342">
        <f>GETPIVOTDATA("dato",'[1]tabla dinámica EM'!$A$58,"categoría","Hoteleros","mes",2,"año",2010)</f>
        <v>8</v>
      </c>
      <c r="E16" s="342">
        <f>GETPIVOTDATA("dato",'[1]tabla dinámica EM'!$A$58,"categoría","EXTRAHOTELEROS","mes",2,"año",2010)</f>
        <v>9.7899999999999991</v>
      </c>
      <c r="F16" s="342">
        <f>GETPIVOTDATA("dato",'[1]tabla dinámica EM'!$A$58,"categoría","TOTAL","mes",2,"año",2010)</f>
        <v>8.6199999999999992</v>
      </c>
      <c r="G16" s="342">
        <f>GETPIVOTDATA("Suma de hotel z4",'[1]tabla dinámica EM men'!$A$4,"MES","2","AÑO",2010)</f>
        <v>7.8427123209097598</v>
      </c>
      <c r="H16" s="342">
        <f>GETPIVOTDATA("Suma de extra-h z4",'[1]tabla dinámica EM men'!$A$4,"MES","2","AÑO",2010)</f>
        <v>9.1717397462935573</v>
      </c>
      <c r="I16" s="342">
        <f>GETPIVOTDATA("Suma de TOTAL z4",'[1]tabla dinámica EM men'!$A$4,"MES","2","AÑO",2010)</f>
        <v>8.430208369568998</v>
      </c>
      <c r="J16" s="342">
        <f>GETPIVOTDATA("Suma de TOTAL HOTELERO",'[1]tabla dinámica EM men'!$A$4,"MES","2","AÑO",2010)</f>
        <v>7.5194609705397459</v>
      </c>
      <c r="K16" s="342">
        <f>GETPIVOTDATA("Suma de extrahoteleros",'[1]tabla dinámica EM men'!$A$4,"MES","2","AÑO",2010)</f>
        <v>9.3704273188866338</v>
      </c>
      <c r="L16" s="342">
        <f>GETPIVOTDATA("Suma de TOTAL general",'[1]tabla dinámica EM men'!$A$4,"MES","2","AÑO",2010)</f>
        <v>8.2523955004370215</v>
      </c>
    </row>
    <row r="17" spans="3:12">
      <c r="C17" s="51" t="s">
        <v>48</v>
      </c>
      <c r="D17" s="342">
        <f>GETPIVOTDATA("dato",'[1]tabla dinámica EM'!$A$58,"categoría","Hoteleros","mes",1,"año",2010)</f>
        <v>8.42</v>
      </c>
      <c r="E17" s="342">
        <f>GETPIVOTDATA("dato",'[1]tabla dinámica EM'!$A$58,"categoría","EXTRAHOTELEROS","mes",1,"año",2010)</f>
        <v>9.61</v>
      </c>
      <c r="F17" s="342">
        <f>GETPIVOTDATA("dato",'[1]tabla dinámica EM'!$A$58,"categoría","TOTAL","mes",1,"año",2010)</f>
        <v>8.84</v>
      </c>
      <c r="G17" s="342">
        <f>GETPIVOTDATA("Suma de hotel z4",'[1]tabla dinámica EM men'!$A$4,"MES","1","AÑO",2010)</f>
        <v>8.1106928568431531</v>
      </c>
      <c r="H17" s="342">
        <f>GETPIVOTDATA("Suma de extra-h z4",'[1]tabla dinámica EM men'!$A$4,"MES","1","AÑO",2010)</f>
        <v>9.1176501196794675</v>
      </c>
      <c r="I17" s="342">
        <f>GETPIVOTDATA("Suma de TOTAL z4",'[1]tabla dinámica EM men'!$A$4,"MES","1","AÑO",2010)</f>
        <v>8.5601993648728918</v>
      </c>
      <c r="J17" s="342">
        <f>GETPIVOTDATA("Suma de TOTAL HOTELERO",'[1]tabla dinámica EM men'!$A$4,"MES","1","AÑO",2010)</f>
        <v>7.8959368115250976</v>
      </c>
      <c r="K17" s="342">
        <f>GETPIVOTDATA("Suma de extrahoteleros",'[1]tabla dinámica EM men'!$A$4,"MES","1","AÑO",2010)</f>
        <v>9.2412418132785419</v>
      </c>
      <c r="L17" s="342">
        <f>GETPIVOTDATA("Suma de TOTAL general",'[1]tabla dinámica EM men'!$A$4,"MES","1","AÑO",2010)</f>
        <v>8.4440726564932227</v>
      </c>
    </row>
    <row r="18" spans="3:12" ht="30">
      <c r="C18" s="69" t="s">
        <v>54</v>
      </c>
      <c r="D18" s="389">
        <f>'[1]tabla dinámica municipios'!$T$298</f>
        <v>7.5495798162773262</v>
      </c>
      <c r="E18" s="389">
        <f>'[1]tabla dinámica municipios'!$S$298</f>
        <v>8.4760431611669063</v>
      </c>
      <c r="F18" s="389">
        <f>'[1]tabla dinámica municipios'!$U$298</f>
        <v>7.8662886756998951</v>
      </c>
      <c r="G18" s="343">
        <f>GETPIVOTDATA("Suma de hotel z4",'[1]tabla dinámica EM men'!$A$262,"MES","6","AÑO",2010)</f>
        <v>7.3057424794021841</v>
      </c>
      <c r="H18" s="343">
        <f>GETPIVOTDATA("Suma de extra-h z4",'[1]tabla dinámica EM men'!$A$262,"MES","6","AÑO",2010)</f>
        <v>8.280468457294937</v>
      </c>
      <c r="I18" s="343">
        <f>GETPIVOTDATA("Suma de TOTAL z4",'[1]tabla dinámica EM men'!$A$262,"MES","6","AÑO",2010)</f>
        <v>7.7207797208759894</v>
      </c>
      <c r="J18" s="343">
        <f>GETPIVOTDATA("Suma de TOTAL HOTELERO",'[1]tabla dinámica EM men'!$A$262,"MES","6","AÑO",2010)</f>
        <v>6.9683565807411521</v>
      </c>
      <c r="K18" s="343">
        <f>GETPIVOTDATA("Suma de extrahoteleros",'[1]tabla dinámica EM men'!$A$262,"MES","6","AÑO",2010)</f>
        <v>8.2416655582158374</v>
      </c>
      <c r="L18" s="343">
        <f>GETPIVOTDATA("Suma de TOTAL general",'[1]tabla dinámica EM men'!$A$262,"MES","6","AÑO",2010)</f>
        <v>7.464581711616832</v>
      </c>
    </row>
    <row r="19" spans="3:12" hidden="1" outlineLevel="1">
      <c r="C19" s="51" t="s">
        <v>37</v>
      </c>
      <c r="D19" s="342">
        <f>GETPIVOTDATA("dato",'[1]tabla dinámica EM'!$A$58,"categoría","Hoteleros","mes",12,"año",2009)</f>
        <v>7.9972493240860469</v>
      </c>
      <c r="E19" s="342">
        <f>GETPIVOTDATA("dato",'[1]tabla dinámica EM'!$A$58,"categoría","EXTRAHOTELEROS","mes",12,"año",2009)</f>
        <v>9.2303682743654658</v>
      </c>
      <c r="F19" s="342">
        <f>GETPIVOTDATA("dato",'[1]tabla dinámica EM'!$A$58,"categoría","TOTAL","mes",12,"año",2009)</f>
        <v>8.4360997327235694</v>
      </c>
      <c r="G19" s="342">
        <f>GETPIVOTDATA("Suma de hotel z4",'[1]tabla dinámica EM men'!$A$4,"MES","12","AÑO",2009)</f>
        <v>7.647645896907469</v>
      </c>
      <c r="H19" s="342">
        <f>GETPIVOTDATA("Suma de extra-h z4",'[1]tabla dinámica EM men'!$A$4,"MES","12","AÑO",2009)</f>
        <v>8.9267159840666856</v>
      </c>
      <c r="I19" s="342">
        <f>GETPIVOTDATA("Suma de TOTAL z4",'[1]tabla dinámica EM men'!$A$4,"MES","12","AÑO",2009)</f>
        <v>8.2142421610205574</v>
      </c>
      <c r="J19" s="342">
        <f>GETPIVOTDATA("Suma de TOTAL HOTELERO",'[1]tabla dinámica EM men'!$A$4,"MES","12","AÑO",2009)</f>
        <v>7.2901726544966161</v>
      </c>
      <c r="K19" s="342">
        <f>GETPIVOTDATA("Suma de extrahoteleros",'[1]tabla dinámica EM men'!$A$4,"MES","12","AÑO",2009)</f>
        <v>8.8860925348156901</v>
      </c>
      <c r="L19" s="342">
        <f>GETPIVOTDATA("Suma de TOTAL general",'[1]tabla dinámica EM men'!$A$4,"MES","12","AÑO",2009)</f>
        <v>7.9367702362837926</v>
      </c>
    </row>
    <row r="20" spans="3:12" hidden="1" outlineLevel="1">
      <c r="C20" s="51" t="s">
        <v>38</v>
      </c>
      <c r="D20" s="342">
        <f>GETPIVOTDATA("dato",'[1]tabla dinámica EM'!$A$58,"categoría","Hoteleros","mes",11,"año",2009)</f>
        <v>8.3025929521292152</v>
      </c>
      <c r="E20" s="342">
        <f>GETPIVOTDATA("dato",'[1]tabla dinámica EM'!$A$58,"categoría","EXTRAHOTELEROS","mes",11,"año",2009)</f>
        <v>9.4885697925384314</v>
      </c>
      <c r="F20" s="342">
        <f>GETPIVOTDATA("dato",'[1]tabla dinámica EM'!$A$58,"categoría","TOTAL","mes",11,"año",2009)</f>
        <v>8.7139572368169773</v>
      </c>
      <c r="G20" s="342">
        <f>GETPIVOTDATA("Suma de hotel z4",'[1]tabla dinámica EM men'!$A$4,"MES","11","AÑO",2009)</f>
        <v>7.9327985684756115</v>
      </c>
      <c r="H20" s="342">
        <f>GETPIVOTDATA("Suma de extra-h z4",'[1]tabla dinámica EM men'!$A$4,"MES","11","AÑO",2009)</f>
        <v>9.0574416078218363</v>
      </c>
      <c r="I20" s="342">
        <f>GETPIVOTDATA("Suma de TOTAL z4",'[1]tabla dinámica EM men'!$A$4,"MES","11","AÑO",2009)</f>
        <v>8.4229303088218401</v>
      </c>
      <c r="J20" s="342">
        <f>GETPIVOTDATA("Suma de TOTAL HOTELERO",'[1]tabla dinámica EM men'!$A$4,"MES","11","AÑO",2009)</f>
        <v>7.4100813325756496</v>
      </c>
      <c r="K20" s="342">
        <f>GETPIVOTDATA("Suma de extrahoteleros",'[1]tabla dinámica EM men'!$A$4,"MES","11","AÑO",2009)</f>
        <v>9.0653683966319587</v>
      </c>
      <c r="L20" s="342">
        <f>GETPIVOTDATA("Suma de TOTAL general",'[1]tabla dinámica EM men'!$A$4,"MES","11","AÑO",2009)</f>
        <v>8.0625494214662652</v>
      </c>
    </row>
    <row r="21" spans="3:12" hidden="1" outlineLevel="1">
      <c r="C21" s="51" t="s">
        <v>39</v>
      </c>
      <c r="D21" s="342">
        <f>GETPIVOTDATA("dato",'[1]tabla dinámica EM'!$A$58,"categoría","Hoteleros","mes",10,"año",2009)</f>
        <v>7.431350649903206</v>
      </c>
      <c r="E21" s="342">
        <f>GETPIVOTDATA("dato",'[1]tabla dinámica EM'!$A$58,"categoría","EXTRAHOTELEROS","mes",10,"año",2009)</f>
        <v>7.7858367092552196</v>
      </c>
      <c r="F21" s="342">
        <f>GETPIVOTDATA("dato",'[1]tabla dinámica EM'!$A$58,"categoría","TOTAL","mes",10,"año",2009)</f>
        <v>7.5565637942184125</v>
      </c>
      <c r="G21" s="342">
        <f>GETPIVOTDATA("Suma de hotel z4",'[1]tabla dinámica EM men'!$A$4,"MES","10","AÑO",2009)</f>
        <v>7.2524717669288572</v>
      </c>
      <c r="H21" s="342">
        <f>GETPIVOTDATA("Suma de extra-h z4",'[1]tabla dinámica EM men'!$A$4,"MES","10","AÑO",2009)</f>
        <v>7.738816860895497</v>
      </c>
      <c r="I21" s="342">
        <f>GETPIVOTDATA("Suma de TOTAL z4",'[1]tabla dinámica EM men'!$A$4,"MES","10","AÑO",2009)</f>
        <v>7.4654537371217575</v>
      </c>
      <c r="J21" s="342">
        <f>GETPIVOTDATA("Suma de TOTAL HOTELERO",'[1]tabla dinámica EM men'!$A$4,"MES","10","AÑO",2009)</f>
        <v>6.7678373582799498</v>
      </c>
      <c r="K21" s="342">
        <f>GETPIVOTDATA("Suma de extrahoteleros",'[1]tabla dinámica EM men'!$A$4,"MES","10","AÑO",2009)</f>
        <v>7.6013957581090512</v>
      </c>
      <c r="L21" s="342">
        <f>GETPIVOTDATA("Suma de TOTAL general",'[1]tabla dinámica EM men'!$A$4,"MES","10","AÑO",2009)</f>
        <v>7.1071007802485235</v>
      </c>
    </row>
    <row r="22" spans="3:12" hidden="1" outlineLevel="1">
      <c r="C22" s="51" t="s">
        <v>40</v>
      </c>
      <c r="D22" s="342">
        <f>GETPIVOTDATA("dato",'[1]tabla dinámica EM'!$A$58,"categoría","Hoteleros","mes",9,"año",2009)</f>
        <v>8.33</v>
      </c>
      <c r="E22" s="342">
        <f>GETPIVOTDATA("dato",'[1]tabla dinámica EM'!$A$58,"categoría","EXTRAHOTELEROS","mes",9,"año",2009)</f>
        <v>8.76</v>
      </c>
      <c r="F22" s="342">
        <f>GETPIVOTDATA("dato",'[1]tabla dinámica EM'!$A$58,"categoría","TOTAL","mes",9,"año",2009)</f>
        <v>8.49</v>
      </c>
      <c r="G22" s="342">
        <f>GETPIVOTDATA("Suma de hotel z4",'[1]tabla dinámica EM men'!$A$4,"MES","9","AÑO",2009)</f>
        <v>7.8443567980311109</v>
      </c>
      <c r="H22" s="342">
        <f>GETPIVOTDATA("Suma de extra-h z4",'[1]tabla dinámica EM men'!$A$4,"MES","9","AÑO",2009)</f>
        <v>8.4102280016327491</v>
      </c>
      <c r="I22" s="342">
        <f>GETPIVOTDATA("Suma de TOTAL z4",'[1]tabla dinámica EM men'!$A$4,"MES","9","AÑO",2009)</f>
        <v>8.0882595832076642</v>
      </c>
      <c r="J22" s="342">
        <f>GETPIVOTDATA("Suma de TOTAL HOTELERO",'[1]tabla dinámica EM men'!$A$4,"MES","9","AÑO",2009)</f>
        <v>7.3129138453480973</v>
      </c>
      <c r="K22" s="342">
        <f>GETPIVOTDATA("Suma de extrahoteleros",'[1]tabla dinámica EM men'!$A$4,"MES","9","AÑO",2009)</f>
        <v>8.21835772195546</v>
      </c>
      <c r="L22" s="342">
        <f>GETPIVOTDATA("Suma de TOTAL general",'[1]tabla dinámica EM men'!$A$4,"MES","9","AÑO",2009)</f>
        <v>7.6717182268346251</v>
      </c>
    </row>
    <row r="23" spans="3:12" hidden="1" outlineLevel="1">
      <c r="C23" s="51" t="s">
        <v>41</v>
      </c>
      <c r="D23" s="342">
        <f>GETPIVOTDATA("dato",'[1]tabla dinámica EM'!$A$58,"categoría","Hoteleros","mes",8,"año",2009)</f>
        <v>8.09</v>
      </c>
      <c r="E23" s="342">
        <f>GETPIVOTDATA("dato",'[1]tabla dinámica EM'!$A$58,"categoría","EXTRAHOTELEROS","mes",8,"año",2009)</f>
        <v>8.39</v>
      </c>
      <c r="F23" s="342">
        <f>GETPIVOTDATA("dato",'[1]tabla dinámica EM'!$A$58,"categoría","TOTAL","mes",8,"año",2009)</f>
        <v>8.1999999999999993</v>
      </c>
      <c r="G23" s="342">
        <f>GETPIVOTDATA("Suma de hotel z4",'[1]tabla dinámica EM men'!$A$4,"MES","8","AÑO",2009)</f>
        <v>7.7181814022297806</v>
      </c>
      <c r="H23" s="342">
        <f>GETPIVOTDATA("Suma de extra-h z4",'[1]tabla dinámica EM men'!$A$4,"MES","8","AÑO",2009)</f>
        <v>8.4576592631838796</v>
      </c>
      <c r="I23" s="342">
        <f>GETPIVOTDATA("Suma de TOTAL z4",'[1]tabla dinámica EM men'!$A$4,"MES","8","AÑO",2009)</f>
        <v>8.0567264067211699</v>
      </c>
      <c r="J23" s="342">
        <f>GETPIVOTDATA("Suma de TOTAL HOTELERO",'[1]tabla dinámica EM men'!$A$4,"MES","8","AÑO",2009)</f>
        <v>7.2287011612502132</v>
      </c>
      <c r="K23" s="342">
        <f>GETPIVOTDATA("Suma de extrahoteleros",'[1]tabla dinámica EM men'!$A$4,"MES","8","AÑO",2009)</f>
        <v>8.1824950899997972</v>
      </c>
      <c r="L23" s="342">
        <f>GETPIVOTDATA("Suma de TOTAL general",'[1]tabla dinámica EM men'!$A$4,"MES","8","AÑO",2009)</f>
        <v>7.6315121146174931</v>
      </c>
    </row>
    <row r="24" spans="3:12" hidden="1" outlineLevel="1">
      <c r="C24" s="51" t="s">
        <v>42</v>
      </c>
      <c r="D24" s="342">
        <f>GETPIVOTDATA("dato",'[1]tabla dinámica EM'!$A$58,"categoría","Hoteleros","mes",7,"año",2009)</f>
        <v>7.98</v>
      </c>
      <c r="E24" s="342">
        <f>GETPIVOTDATA("dato",'[1]tabla dinámica EM'!$A$58,"categoría","EXTRAHOTELEROS","mes",7,"año",2009)</f>
        <v>8.2200000000000006</v>
      </c>
      <c r="F24" s="342">
        <f>GETPIVOTDATA("dato",'[1]tabla dinámica EM'!$A$58,"categoría","TOTAL","mes",7,"año",2009)</f>
        <v>8.07</v>
      </c>
      <c r="G24" s="342">
        <f>GETPIVOTDATA("Suma de hotel z4",'[1]tabla dinámica EM men'!$A$4,"MES","7","AÑO",2009)</f>
        <v>7.6223725550348567</v>
      </c>
      <c r="H24" s="342">
        <f>GETPIVOTDATA("Suma de extra-h z4",'[1]tabla dinámica EM men'!$A$4,"MES","7","AÑO",2009)</f>
        <v>7.9982035848756432</v>
      </c>
      <c r="I24" s="342">
        <f>GETPIVOTDATA("Suma de TOTAL z4",'[1]tabla dinámica EM men'!$A$4,"MES","7","AÑO",2009)</f>
        <v>7.7891667990515359</v>
      </c>
      <c r="J24" s="342">
        <f>GETPIVOTDATA("Suma de TOTAL HOTELERO",'[1]tabla dinámica EM men'!$A$4,"MES","7","AÑO",2009)</f>
        <v>7.023464693330201</v>
      </c>
      <c r="K24" s="342">
        <f>GETPIVOTDATA("Suma de extrahoteleros",'[1]tabla dinámica EM men'!$A$4,"MES","7","AÑO",2009)</f>
        <v>7.7482241736114998</v>
      </c>
      <c r="L24" s="342">
        <f>GETPIVOTDATA("Suma de TOTAL general",'[1]tabla dinámica EM men'!$A$4,"MES","7","AÑO",2009)</f>
        <v>7.3219014498094177</v>
      </c>
    </row>
    <row r="25" spans="3:12" hidden="1" outlineLevel="1">
      <c r="C25" s="51" t="s">
        <v>43</v>
      </c>
      <c r="D25" s="342">
        <f>GETPIVOTDATA("dato",'[1]tabla dinámica EM'!$A$58,"categoría","Hoteleros","mes",6,"año",2009)</f>
        <v>7.7137847248315419</v>
      </c>
      <c r="E25" s="342">
        <f>GETPIVOTDATA("dato",'[1]tabla dinámica EM'!$A$58,"categoría","EXTRAHOTELEROS","mes",6,"año",2009)</f>
        <v>8.5042484053436027</v>
      </c>
      <c r="F25" s="342">
        <f>GETPIVOTDATA("dato",'[1]tabla dinámica EM'!$A$58,"categoría","TOTAL","mes",6,"año",2009)</f>
        <v>7.9843228681819305</v>
      </c>
      <c r="G25" s="342">
        <f>GETPIVOTDATA("Suma de hotel z4",'[1]tabla dinámica EM men'!$A$4,"MES","6","AÑO",2009)</f>
        <v>7.5260040302396325</v>
      </c>
      <c r="H25" s="342">
        <f>GETPIVOTDATA("Suma de extra-h z4",'[1]tabla dinámica EM men'!$A$4,"MES","6","AÑO",2009)</f>
        <v>8.2160049001945659</v>
      </c>
      <c r="I25" s="342">
        <f>GETPIVOTDATA("Suma de TOTAL z4",'[1]tabla dinámica EM men'!$A$4,"MES","6","AÑO",2009)</f>
        <v>7.8130738500513424</v>
      </c>
      <c r="J25" s="342">
        <f>GETPIVOTDATA("Suma de TOTAL HOTELERO",'[1]tabla dinámica EM men'!$A$4,"MES","6","AÑO",2009)</f>
        <v>6.9611211192475961</v>
      </c>
      <c r="K25" s="342">
        <f>GETPIVOTDATA("Suma de extrahoteleros",'[1]tabla dinámica EM men'!$A$4,"MES","6","AÑO",2009)</f>
        <v>7.9395341662810424</v>
      </c>
      <c r="L25" s="342">
        <f>GETPIVOTDATA("Suma de TOTAL general",'[1]tabla dinámica EM men'!$A$4,"MES","6","AÑO",2009)</f>
        <v>7.3418586969570514</v>
      </c>
    </row>
    <row r="26" spans="3:12" hidden="1" outlineLevel="1">
      <c r="C26" s="51" t="s">
        <v>44</v>
      </c>
      <c r="D26" s="342">
        <f>GETPIVOTDATA("dato",'[1]tabla dinámica EM'!$A$58,"categoría","Hoteleros","mes",5,"año",2009)</f>
        <v>6.93</v>
      </c>
      <c r="E26" s="342">
        <f>GETPIVOTDATA("dato",'[1]tabla dinámica EM'!$A$58,"categoría","EXTRAHOTELEROS","mes",5,"año",2009)</f>
        <v>8.02</v>
      </c>
      <c r="F26" s="342">
        <f>GETPIVOTDATA("dato",'[1]tabla dinámica EM'!$A$58,"categoría","TOTAL","mes",5,"año",2009)</f>
        <v>7.28</v>
      </c>
      <c r="G26" s="342">
        <f>GETPIVOTDATA("Suma de hotel z4",'[1]tabla dinámica EM men'!$A$4,"MES","5","AÑO",2009)</f>
        <v>6.9125113412383064</v>
      </c>
      <c r="H26" s="342">
        <f>GETPIVOTDATA("Suma de extra-h z4",'[1]tabla dinámica EM men'!$A$4,"MES","5","AÑO",2009)</f>
        <v>7.6216516045240548</v>
      </c>
      <c r="I26" s="342">
        <f>GETPIVOTDATA("Suma de TOTAL z4",'[1]tabla dinámica EM men'!$A$4,"MES","5","AÑO",2009)</f>
        <v>7.2029746314035661</v>
      </c>
      <c r="J26" s="342">
        <f>GETPIVOTDATA("Suma de TOTAL HOTELERO",'[1]tabla dinámica EM men'!$A$4,"MES","5","AÑO",2009)</f>
        <v>6.5399425181473161</v>
      </c>
      <c r="K26" s="342">
        <f>GETPIVOTDATA("Suma de extrahoteleros",'[1]tabla dinámica EM men'!$A$4,"MES","5","AÑO",2009)</f>
        <v>7.5326660709861013</v>
      </c>
      <c r="L26" s="342">
        <f>GETPIVOTDATA("Suma de TOTAL general",'[1]tabla dinámica EM men'!$A$4,"MES","5","AÑO",2009)</f>
        <v>6.9173748833119699</v>
      </c>
    </row>
    <row r="27" spans="3:12" hidden="1" outlineLevel="1">
      <c r="C27" s="51" t="s">
        <v>45</v>
      </c>
      <c r="D27" s="342">
        <f>GETPIVOTDATA("dato",'[1]tabla dinámica EM'!$A$58,"categoría","Hoteleros","mes",4,"año",2009)</f>
        <v>7.4878434126217854</v>
      </c>
      <c r="E27" s="342">
        <f>GETPIVOTDATA("dato",'[1]tabla dinámica EM'!$A$58,"categoría","EXTRAHOTELEROS","mes",4,"año",2009)</f>
        <v>8.0707939016633574</v>
      </c>
      <c r="F27" s="342">
        <f>GETPIVOTDATA("dato",'[1]tabla dinámica EM'!$A$58,"categoría","TOTAL","mes",4,"año",2009)</f>
        <v>7.6993085221671436</v>
      </c>
      <c r="G27" s="342">
        <f>GETPIVOTDATA("Suma de hotel z4",'[1]tabla dinámica EM men'!$A$4,"MES","4","AÑO",2009)</f>
        <v>6.8994575378395808</v>
      </c>
      <c r="H27" s="342">
        <f>GETPIVOTDATA("Suma de extra-h z4",'[1]tabla dinámica EM men'!$A$4,"MES","4","AÑO",2009)</f>
        <v>7.8419304752868113</v>
      </c>
      <c r="I27" s="342">
        <f>GETPIVOTDATA("Suma de TOTAL z4",'[1]tabla dinámica EM men'!$A$4,"MES","4","AÑO",2009)</f>
        <v>7.3045713667753249</v>
      </c>
      <c r="J27" s="342">
        <f>GETPIVOTDATA("Suma de TOTAL HOTELERO",'[1]tabla dinámica EM men'!$A$4,"MES","4","AÑO",2009)</f>
        <v>6.5143796479969653</v>
      </c>
      <c r="K27" s="342">
        <f>GETPIVOTDATA("Suma de extrahoteleros",'[1]tabla dinámica EM men'!$A$4,"MES","4","AÑO",2009)</f>
        <v>7.6792711835707896</v>
      </c>
      <c r="L27" s="342">
        <f>GETPIVOTDATA("Suma de TOTAL general",'[1]tabla dinámica EM men'!$A$4,"MES","4","AÑO",2009)</f>
        <v>6.9747460746122414</v>
      </c>
    </row>
    <row r="28" spans="3:12" hidden="1" outlineLevel="1">
      <c r="C28" s="51" t="s">
        <v>46</v>
      </c>
      <c r="D28" s="342">
        <f>GETPIVOTDATA("dato",'[1]tabla dinámica EM'!$A$58,"categoría","Hoteleros","mes",3,"año",2009)</f>
        <v>8.1300000000000008</v>
      </c>
      <c r="E28" s="342">
        <f>GETPIVOTDATA("dato",'[1]tabla dinámica EM'!$A$58,"categoría","EXTRAHOTELEROS","mes",3,"año",2009)</f>
        <v>9.34</v>
      </c>
      <c r="F28" s="342">
        <f>GETPIVOTDATA("dato",'[1]tabla dinámica EM'!$A$58,"categoría","TOTAL","mes",3,"año",2009)</f>
        <v>8.57</v>
      </c>
      <c r="G28" s="342">
        <f>GETPIVOTDATA("Suma de hotel z4",'[1]tabla dinámica EM men'!$A$4,"MES","3","AÑO",2009)</f>
        <v>7.9102021255944868</v>
      </c>
      <c r="H28" s="342">
        <f>GETPIVOTDATA("Suma de extra-h z4",'[1]tabla dinámica EM men'!$A$4,"MES","3","AÑO",2009)</f>
        <v>8.6078266579120157</v>
      </c>
      <c r="I28" s="342">
        <f>GETPIVOTDATA("Suma de TOTAL z4",'[1]tabla dinámica EM men'!$A$4,"MES","3","AÑO",2009)</f>
        <v>8.2452135911309554</v>
      </c>
      <c r="J28" s="342">
        <f>GETPIVOTDATA("Suma de TOTAL HOTELERO",'[1]tabla dinámica EM men'!$A$4,"MES","3","AÑO",2009)</f>
        <v>7.5082973758652605</v>
      </c>
      <c r="K28" s="342">
        <f>GETPIVOTDATA("Suma de extrahoteleros",'[1]tabla dinámica EM men'!$A$4,"MES","3","AÑO",2009)</f>
        <v>8.683283623693379</v>
      </c>
      <c r="L28" s="342">
        <f>GETPIVOTDATA("Suma de TOTAL general",'[1]tabla dinámica EM men'!$A$4,"MES","3","AÑO",2009)</f>
        <v>8.0229714682008648</v>
      </c>
    </row>
    <row r="29" spans="3:12" hidden="1" outlineLevel="1">
      <c r="C29" s="51" t="s">
        <v>47</v>
      </c>
      <c r="D29" s="342">
        <f>GETPIVOTDATA("dato",'[1]tabla dinámica EM'!$A$58,"categoría","Hoteleros","mes",2,"año",2009)</f>
        <v>7.79</v>
      </c>
      <c r="E29" s="342">
        <f>GETPIVOTDATA("dato",'[1]tabla dinámica EM'!$A$58,"categoría","EXTRAHOTELEROS","mes",2,"año",2009)</f>
        <v>9.1199999999999992</v>
      </c>
      <c r="F29" s="342">
        <f>GETPIVOTDATA("dato",'[1]tabla dinámica EM'!$A$58,"categoría","TOTAL","mes",2,"año",2009)</f>
        <v>8.2899999999999991</v>
      </c>
      <c r="G29" s="342">
        <f>GETPIVOTDATA("Suma de hotel z4",'[1]tabla dinámica EM men'!$A$4,"MES","2","AÑO",2009)</f>
        <v>7.7651669482261747</v>
      </c>
      <c r="H29" s="342">
        <f>GETPIVOTDATA("Suma de extra-h z4",'[1]tabla dinámica EM men'!$A$4,"MES","2","AÑO",2009)</f>
        <v>8.9086718710796653</v>
      </c>
      <c r="I29" s="342">
        <f>GETPIVOTDATA("Suma de TOTAL z4",'[1]tabla dinámica EM men'!$A$4,"MES","2","AÑO",2009)</f>
        <v>8.2959917472255036</v>
      </c>
      <c r="J29" s="342">
        <f>GETPIVOTDATA("Suma de TOTAL HOTELERO",'[1]tabla dinámica EM men'!$A$4,"MES","2","AÑO",2009)</f>
        <v>7.3909330093314338</v>
      </c>
      <c r="K29" s="342">
        <f>GETPIVOTDATA("Suma de extrahoteleros",'[1]tabla dinámica EM men'!$A$4,"MES","2","AÑO",2009)</f>
        <v>9.2279442228612059</v>
      </c>
      <c r="L29" s="342">
        <f>GETPIVOTDATA("Suma de TOTAL general",'[1]tabla dinámica EM men'!$A$4,"MES","2","AÑO",2009)</f>
        <v>8.1613846082026651</v>
      </c>
    </row>
    <row r="30" spans="3:12" hidden="1" outlineLevel="1">
      <c r="C30" s="51" t="s">
        <v>48</v>
      </c>
      <c r="D30" s="342">
        <f>GETPIVOTDATA("dato",'[1]tabla dinámica EM'!$A$58,"categoría","Hoteleros","mes",1,"año",2009)</f>
        <v>9.01</v>
      </c>
      <c r="E30" s="342">
        <f>GETPIVOTDATA("dato",'[1]tabla dinámica EM'!$A$58,"categoría","EXTRAHOTELEROS","mes",1,"año",2009)</f>
        <v>9.2799999999999994</v>
      </c>
      <c r="F30" s="342">
        <f>GETPIVOTDATA("dato",'[1]tabla dinámica EM'!$A$58,"categoría","TOTAL","mes",1,"año",2009)</f>
        <v>9.1199999999999992</v>
      </c>
      <c r="G30" s="342">
        <f>GETPIVOTDATA("Suma de hotel z4",'[1]tabla dinámica EM men'!$A$4,"MES","1","AÑO",2009)</f>
        <v>9.0152006157866484</v>
      </c>
      <c r="H30" s="342">
        <f>GETPIVOTDATA("Suma de extra-h z4",'[1]tabla dinámica EM men'!$A$4,"MES","1","AÑO",2009)</f>
        <v>9.0764446407985471</v>
      </c>
      <c r="I30" s="342">
        <f>GETPIVOTDATA("Suma de TOTAL z4",'[1]tabla dinámica EM men'!$A$4,"MES","1","AÑO",2009)</f>
        <v>9.0448270565213615</v>
      </c>
      <c r="J30" s="342">
        <f>GETPIVOTDATA("Suma de TOTAL HOTELERO",'[1]tabla dinámica EM men'!$A$4,"MES","1","AÑO",2009)</f>
        <v>8.6229990306885878</v>
      </c>
      <c r="K30" s="342">
        <f>GETPIVOTDATA("Suma de extrahoteleros",'[1]tabla dinámica EM men'!$A$4,"MES","1","AÑO",2009)</f>
        <v>9.440466565204984</v>
      </c>
      <c r="L30" s="342">
        <f>GETPIVOTDATA("Suma de TOTAL general",'[1]tabla dinámica EM men'!$A$4,"MES","1","AÑO",2009)</f>
        <v>8.9841593780369298</v>
      </c>
    </row>
    <row r="31" spans="3:12" collapsed="1">
      <c r="C31" s="56">
        <v>2009</v>
      </c>
      <c r="D31" s="345">
        <f>'[1]tabla dinámica EM'!E334</f>
        <v>7.9278989776139257</v>
      </c>
      <c r="E31" s="345">
        <f>'[1]tabla dinámica EM'!E321</f>
        <v>8.6757024494167698</v>
      </c>
      <c r="F31" s="345">
        <f>'[1]tabla dinámica EM'!E347</f>
        <v>8.1984413876998072</v>
      </c>
      <c r="G31" s="345">
        <f>GETPIVOTDATA("Suma de hotel z4",'[1]tabla dinámica EM men'!$A$262,"MES","12","AÑO",2009)</f>
        <v>7.6543673213142673</v>
      </c>
      <c r="H31" s="345">
        <f>GETPIVOTDATA("Suma de extra-h z4",'[1]tabla dinámica EM men'!$A$262,"MES","12","AÑO",2009)</f>
        <v>8.4143691576614046</v>
      </c>
      <c r="I31" s="345">
        <f>GETPIVOTDATA("Suma de TOTAL z4",'[1]tabla dinámica EM men'!$A$262,"MES","12","AÑO",2009)</f>
        <v>7.9928069353838627</v>
      </c>
      <c r="J31" s="345">
        <f>GETPIVOTDATA("Suma de TOTAL HOTELERO",'[1]tabla dinámica EM men'!$A$262,"MES","12","AÑO",2009)</f>
        <v>7.1996530024705416</v>
      </c>
      <c r="K31" s="345">
        <f>GETPIVOTDATA("Suma de extrahoteleros",'[1]tabla dinámica EM men'!$A$262,"MES","12","AÑO",2009)</f>
        <v>8.3575297761506295</v>
      </c>
      <c r="L31" s="345">
        <f>GETPIVOTDATA("Suma de TOTAL general",'[1]tabla dinámica EM men'!$A$262,"MES","12","AÑO",2009)</f>
        <v>7.6734024642602394</v>
      </c>
    </row>
    <row r="32" spans="3:12" hidden="1" outlineLevel="1">
      <c r="C32" s="51" t="s">
        <v>37</v>
      </c>
      <c r="D32" s="342">
        <f>GETPIVOTDATA("dato",'[1]tabla dinámica EM'!$A$58,"categoría","Hoteleros","mes",12,"año",2008)</f>
        <v>8.5</v>
      </c>
      <c r="E32" s="342">
        <f>GETPIVOTDATA("dato",'[1]tabla dinámica EM'!$A$58,"categoría","EXTRAHOTELEROS","mes",12,"año",2008)</f>
        <v>8.9</v>
      </c>
      <c r="F32" s="342">
        <f>GETPIVOTDATA("dato",'[1]tabla dinámica EM'!$A$58,"categoría","TOTAL","mes",12,"año",2008)</f>
        <v>8.65</v>
      </c>
      <c r="G32" s="342">
        <f>GETPIVOTDATA("Suma de hotel z4",'[1]tabla dinámica EM men'!$A$4,"MES","12","AÑO",2008)</f>
        <v>8.2215598427356671</v>
      </c>
      <c r="H32" s="342">
        <f>GETPIVOTDATA("Suma de extra-h z4",'[1]tabla dinámica EM men'!$A$4,"MES","12","AÑO",2008)</f>
        <v>8.8448705786691963</v>
      </c>
      <c r="I32" s="342">
        <f>GETPIVOTDATA("Suma de TOTAL z4",'[1]tabla dinámica EM men'!$A$4,"MES","12","AÑO",2008)</f>
        <v>8.5167391339226981</v>
      </c>
      <c r="J32" s="342">
        <f>GETPIVOTDATA("Suma de TOTAL HOTELERO",'[1]tabla dinámica EM men'!$A$4,"MES","12","AÑO",2008)</f>
        <v>7.6342594371645598</v>
      </c>
      <c r="K32" s="342">
        <f>GETPIVOTDATA("Suma de extrahoteleros",'[1]tabla dinámica EM men'!$A$4,"MES","12","AÑO",2008)</f>
        <v>8.9204981931407534</v>
      </c>
      <c r="L32" s="342">
        <f>GETPIVOTDATA("Suma de TOTAL general",'[1]tabla dinámica EM men'!$A$4,"MES","12","AÑO",2008)</f>
        <v>8.1861151673683512</v>
      </c>
    </row>
    <row r="33" spans="3:12" hidden="1" outlineLevel="1">
      <c r="C33" s="51" t="s">
        <v>38</v>
      </c>
      <c r="D33" s="342">
        <f>GETPIVOTDATA("dato",'[1]tabla dinámica EM'!$A$58,"categoría","Hoteleros","mes",11,"año",2008)</f>
        <v>8.34</v>
      </c>
      <c r="E33" s="342">
        <f>GETPIVOTDATA("dato",'[1]tabla dinámica EM'!$A$58,"categoría","EXTRAHOTELEROS","mes",11,"año",2008)</f>
        <v>8.58</v>
      </c>
      <c r="F33" s="342">
        <f>GETPIVOTDATA("dato",'[1]tabla dinámica EM'!$A$58,"categoría","TOTAL","mes",11,"año",2008)</f>
        <v>8.43</v>
      </c>
      <c r="G33" s="342">
        <f>GETPIVOTDATA("Suma de hotel z4",'[1]tabla dinámica EM men'!$A$4,"MES","11","AÑO",2008)</f>
        <v>7.9358462794521811</v>
      </c>
      <c r="H33" s="342">
        <f>GETPIVOTDATA("Suma de extra-h z4",'[1]tabla dinámica EM men'!$A$4,"MES","11","AÑO",2008)</f>
        <v>8.438475287436459</v>
      </c>
      <c r="I33" s="342">
        <f>GETPIVOTDATA("Suma de TOTAL z4",'[1]tabla dinámica EM men'!$A$4,"MES","11","AÑO",2008)</f>
        <v>8.1749231233041897</v>
      </c>
      <c r="J33" s="342">
        <f>GETPIVOTDATA("Suma de TOTAL HOTELERO",'[1]tabla dinámica EM men'!$A$4,"MES","11","AÑO",2008)</f>
        <v>7.3524945726053526</v>
      </c>
      <c r="K33" s="342">
        <f>GETPIVOTDATA("Suma de extrahoteleros",'[1]tabla dinámica EM men'!$A$4,"MES","11","AÑO",2008)</f>
        <v>8.580988100698848</v>
      </c>
      <c r="L33" s="342">
        <f>GETPIVOTDATA("Suma de TOTAL general",'[1]tabla dinámica EM men'!$A$4,"MES","11","AÑO",2008)</f>
        <v>7.879770232084125</v>
      </c>
    </row>
    <row r="34" spans="3:12" hidden="1" outlineLevel="1">
      <c r="C34" s="51" t="s">
        <v>39</v>
      </c>
      <c r="D34" s="342">
        <f>GETPIVOTDATA("dato",'[1]tabla dinámica EM'!$A$58,"categoría","Hoteleros","mes",10,"año",2008)</f>
        <v>7.99</v>
      </c>
      <c r="E34" s="342">
        <f>GETPIVOTDATA("dato",'[1]tabla dinámica EM'!$A$58,"categoría","EXTRAHOTELEROS","mes",10,"año",2008)</f>
        <v>8.06</v>
      </c>
      <c r="F34" s="342">
        <f>GETPIVOTDATA("dato",'[1]tabla dinámica EM'!$A$58,"categoría","TOTAL","mes",10,"año",2008)</f>
        <v>8.02</v>
      </c>
      <c r="G34" s="342">
        <f>GETPIVOTDATA("Suma de hotel z4",'[1]tabla dinámica EM men'!$A$4,"MES","10","AÑO",2008)</f>
        <v>7.6980323740623362</v>
      </c>
      <c r="H34" s="342">
        <f>GETPIVOTDATA("Suma de extra-h z4",'[1]tabla dinámica EM men'!$A$4,"MES","10","AÑO",2008)</f>
        <v>7.9789273867275137</v>
      </c>
      <c r="I34" s="342">
        <f>GETPIVOTDATA("Suma de TOTAL z4",'[1]tabla dinámica EM men'!$A$4,"MES","10","AÑO",2008)</f>
        <v>7.8258295458180305</v>
      </c>
      <c r="J34" s="342">
        <f>GETPIVOTDATA("Suma de TOTAL HOTELERO",'[1]tabla dinámica EM men'!$A$4,"MES","10","AÑO",2008)</f>
        <v>7.1015285705422508</v>
      </c>
      <c r="K34" s="342">
        <f>GETPIVOTDATA("Suma de extrahoteleros",'[1]tabla dinámica EM men'!$A$4,"MES","10","AÑO",2008)</f>
        <v>7.9351847322103177</v>
      </c>
      <c r="L34" s="342">
        <f>GETPIVOTDATA("Suma de TOTAL general",'[1]tabla dinámica EM men'!$A$4,"MES","10","AÑO",2008)</f>
        <v>7.4486247813206532</v>
      </c>
    </row>
    <row r="35" spans="3:12" hidden="1" outlineLevel="1">
      <c r="C35" s="51" t="s">
        <v>40</v>
      </c>
      <c r="D35" s="342">
        <f>GETPIVOTDATA("dato",'[1]tabla dinámica EM'!$A$58,"categoría","Hoteleros","mes",9,"año",2008)</f>
        <v>8.6300000000000008</v>
      </c>
      <c r="E35" s="342">
        <f>GETPIVOTDATA("dato",'[1]tabla dinámica EM'!$A$58,"categoría","EXTRAHOTELEROS","mes",9,"año",2008)</f>
        <v>8.75</v>
      </c>
      <c r="F35" s="342">
        <f>GETPIVOTDATA("dato",'[1]tabla dinámica EM'!$A$58,"categoría","TOTAL","mes",9,"año",2008)</f>
        <v>8.68</v>
      </c>
      <c r="G35" s="342">
        <f>GETPIVOTDATA("Suma de hotel z4",'[1]tabla dinámica EM men'!$A$4,"MES","9","AÑO",2008)</f>
        <v>8.1173492023117291</v>
      </c>
      <c r="H35" s="342">
        <f>GETPIVOTDATA("Suma de extra-h z4",'[1]tabla dinámica EM men'!$A$4,"MES","9","AÑO",2008)</f>
        <v>8.8767496393949887</v>
      </c>
      <c r="I35" s="342">
        <f>GETPIVOTDATA("Suma de TOTAL z4",'[1]tabla dinámica EM men'!$A$4,"MES","9","AÑO",2008)</f>
        <v>8.4388227107126781</v>
      </c>
      <c r="J35" s="342">
        <f>GETPIVOTDATA("Suma de TOTAL HOTELERO",'[1]tabla dinámica EM men'!$A$4,"MES","9","AÑO",2008)</f>
        <v>7.40442648399166</v>
      </c>
      <c r="K35" s="342">
        <f>GETPIVOTDATA("Suma de extrahoteleros",'[1]tabla dinámica EM men'!$A$4,"MES","9","AÑO",2008)</f>
        <v>8.6590105773176766</v>
      </c>
      <c r="L35" s="342">
        <f>GETPIVOTDATA("Suma de TOTAL general",'[1]tabla dinámica EM men'!$A$4,"MES","9","AÑO",2008)</f>
        <v>7.8887389838996933</v>
      </c>
    </row>
    <row r="36" spans="3:12" hidden="1" outlineLevel="1">
      <c r="C36" s="51" t="s">
        <v>41</v>
      </c>
      <c r="D36" s="342">
        <f>GETPIVOTDATA("dato",'[1]tabla dinámica EM'!$A$58,"categoría","Hoteleros","mes",8,"año",2008)</f>
        <v>8.2899999999999991</v>
      </c>
      <c r="E36" s="342">
        <f>GETPIVOTDATA("dato",'[1]tabla dinámica EM'!$A$58,"categoría","EXTRAHOTELEROS","mes",8,"año",2008)</f>
        <v>8.84</v>
      </c>
      <c r="F36" s="342">
        <f>GETPIVOTDATA("dato",'[1]tabla dinámica EM'!$A$58,"categoría","TOTAL","mes",8,"año",2008)</f>
        <v>8.51</v>
      </c>
      <c r="G36" s="342">
        <f>GETPIVOTDATA("Suma de hotel z4",'[1]tabla dinámica EM men'!$A$4,"MES","8","AÑO",2008)</f>
        <v>7.9599834692890381</v>
      </c>
      <c r="H36" s="342">
        <f>GETPIVOTDATA("Suma de extra-h z4",'[1]tabla dinámica EM men'!$A$4,"MES","8","AÑO",2008)</f>
        <v>8.6098271698727515</v>
      </c>
      <c r="I36" s="342">
        <f>GETPIVOTDATA("Suma de TOTAL z4",'[1]tabla dinámica EM men'!$A$4,"MES","8","AÑO",2008)</f>
        <v>8.2614683980242791</v>
      </c>
      <c r="J36" s="342">
        <f>GETPIVOTDATA("Suma de TOTAL HOTELERO",'[1]tabla dinámica EM men'!$A$4,"MES","8","AÑO",2008)</f>
        <v>7.3782563859264165</v>
      </c>
      <c r="K36" s="342">
        <f>GETPIVOTDATA("Suma de extrahoteleros",'[1]tabla dinámica EM men'!$A$4,"MES","8","AÑO",2008)</f>
        <v>8.3994768802081961</v>
      </c>
      <c r="L36" s="342">
        <f>GETPIVOTDATA("Suma de TOTAL general",'[1]tabla dinámica EM men'!$A$4,"MES","8","AÑO",2008)</f>
        <v>7.8165881545419502</v>
      </c>
    </row>
    <row r="37" spans="3:12" hidden="1" outlineLevel="1">
      <c r="C37" s="51" t="s">
        <v>42</v>
      </c>
      <c r="D37" s="342">
        <f>GETPIVOTDATA("dato",'[1]tabla dinámica EM'!$A$58,"categoría","Hoteleros","mes",7,"año",2008)</f>
        <v>9.1199999999999992</v>
      </c>
      <c r="E37" s="342">
        <f>GETPIVOTDATA("dato",'[1]tabla dinámica EM'!$A$58,"categoría","EXTRAHOTELEROS","mes",7,"año",2008)</f>
        <v>9.5299999999999994</v>
      </c>
      <c r="F37" s="342">
        <f>GETPIVOTDATA("dato",'[1]tabla dinámica EM'!$A$58,"categoría","TOTAL","mes",7,"año",2008)</f>
        <v>9.27</v>
      </c>
      <c r="G37" s="342">
        <f>GETPIVOTDATA("Suma de hotel z4",'[1]tabla dinámica EM men'!$A$4,"MES","7","AÑO",2008)</f>
        <v>8.4396038998435365</v>
      </c>
      <c r="H37" s="342">
        <f>GETPIVOTDATA("Suma de extra-h z4",'[1]tabla dinámica EM men'!$A$4,"MES","7","AÑO",2008)</f>
        <v>9.2722204234928451</v>
      </c>
      <c r="I37" s="342">
        <f>GETPIVOTDATA("Suma de TOTAL z4",'[1]tabla dinámica EM men'!$A$4,"MES","7","AÑO",2008)</f>
        <v>8.806304417883716</v>
      </c>
      <c r="J37" s="342">
        <f>GETPIVOTDATA("Suma de TOTAL HOTELERO",'[1]tabla dinámica EM men'!$A$4,"MES","7","AÑO",2008)</f>
        <v>7.6211765640344291</v>
      </c>
      <c r="K37" s="342">
        <f>GETPIVOTDATA("Suma de extrahoteleros",'[1]tabla dinámica EM men'!$A$4,"MES","7","AÑO",2008)</f>
        <v>8.8755700633432877</v>
      </c>
      <c r="L37" s="342">
        <f>GETPIVOTDATA("Suma de TOTAL general",'[1]tabla dinámica EM men'!$A$4,"MES","7","AÑO",2008)</f>
        <v>8.1324292818565844</v>
      </c>
    </row>
    <row r="38" spans="3:12" hidden="1" outlineLevel="1">
      <c r="C38" s="51" t="s">
        <v>43</v>
      </c>
      <c r="D38" s="342">
        <f>GETPIVOTDATA("dato",'[1]tabla dinámica EM'!$A$58,"categoría","Hoteleros","mes",6,"año",2008)</f>
        <v>7.79</v>
      </c>
      <c r="E38" s="342">
        <f>GETPIVOTDATA("dato",'[1]tabla dinámica EM'!$A$58,"categoría","EXTRAHOTELEROS","mes",6,"año",2008)</f>
        <v>9.39</v>
      </c>
      <c r="F38" s="342">
        <f>GETPIVOTDATA("dato",'[1]tabla dinámica EM'!$A$58,"categoría","TOTAL","mes",6,"año",2008)</f>
        <v>8.31</v>
      </c>
      <c r="G38" s="342">
        <f>GETPIVOTDATA("Suma de hotel z4",'[1]tabla dinámica EM men'!$A$4,"MES","6","AÑO",2008)</f>
        <v>7.6867257041911303</v>
      </c>
      <c r="H38" s="342">
        <f>GETPIVOTDATA("Suma de extra-h z4",'[1]tabla dinámica EM men'!$A$4,"MES","6","AÑO",2008)</f>
        <v>8.8188573032481408</v>
      </c>
      <c r="I38" s="342">
        <f>GETPIVOTDATA("Suma de TOTAL z4",'[1]tabla dinámica EM men'!$A$4,"MES","6","AÑO",2008)</f>
        <v>8.1656732910035466</v>
      </c>
      <c r="J38" s="342">
        <f>GETPIVOTDATA("Suma de TOTAL HOTELERO",'[1]tabla dinámica EM men'!$A$4,"MES","6","AÑO",2008)</f>
        <v>7.1130840740438721</v>
      </c>
      <c r="K38" s="342">
        <f>GETPIVOTDATA("Suma de extrahoteleros",'[1]tabla dinámica EM men'!$A$4,"MES","6","AÑO",2008)</f>
        <v>8.5435862850016857</v>
      </c>
      <c r="L38" s="342">
        <f>GETPIVOTDATA("Suma de TOTAL general",'[1]tabla dinámica EM men'!$A$4,"MES","6","AÑO",2008)</f>
        <v>7.6717723038235128</v>
      </c>
    </row>
    <row r="39" spans="3:12" hidden="1" outlineLevel="1">
      <c r="C39" s="51" t="s">
        <v>44</v>
      </c>
      <c r="D39" s="342">
        <f>GETPIVOTDATA("dato",'[1]tabla dinámica EM'!$A$58,"categoría","Hoteleros","mes",5,"año",2008)</f>
        <v>7.38</v>
      </c>
      <c r="E39" s="342">
        <f>GETPIVOTDATA("dato",'[1]tabla dinámica EM'!$A$58,"categoría","EXTRAHOTELEROS","mes",5,"año",2008)</f>
        <v>8.7200000000000006</v>
      </c>
      <c r="F39" s="342">
        <f>GETPIVOTDATA("dato",'[1]tabla dinámica EM'!$A$58,"categoría","TOTAL","mes",5,"año",2008)</f>
        <v>7.82</v>
      </c>
      <c r="G39" s="342">
        <f>GETPIVOTDATA("Suma de hotel z4",'[1]tabla dinámica EM men'!$A$4,"MES","5","AÑO",2008)</f>
        <v>7.1427787497147577</v>
      </c>
      <c r="H39" s="342">
        <f>GETPIVOTDATA("Suma de extra-h z4",'[1]tabla dinámica EM men'!$A$4,"MES","5","AÑO",2008)</f>
        <v>8.2416504055862863</v>
      </c>
      <c r="I39" s="342">
        <f>GETPIVOTDATA("Suma de TOTAL z4",'[1]tabla dinámica EM men'!$A$4,"MES","5","AÑO",2008)</f>
        <v>7.5851424342361522</v>
      </c>
      <c r="J39" s="342">
        <f>GETPIVOTDATA("Suma de TOTAL HOTELERO",'[1]tabla dinámica EM men'!$A$4,"MES","5","AÑO",2008)</f>
        <v>6.6707015513925381</v>
      </c>
      <c r="K39" s="342">
        <f>GETPIVOTDATA("Suma de extrahoteleros",'[1]tabla dinámica EM men'!$A$4,"MES","5","AÑO",2008)</f>
        <v>8.0442909570206496</v>
      </c>
      <c r="L39" s="342">
        <f>GETPIVOTDATA("Suma de TOTAL general",'[1]tabla dinámica EM men'!$A$4,"MES","5","AÑO",2008)</f>
        <v>7.1852245362246938</v>
      </c>
    </row>
    <row r="40" spans="3:12" hidden="1" outlineLevel="1">
      <c r="C40" s="51" t="s">
        <v>45</v>
      </c>
      <c r="D40" s="342">
        <f>GETPIVOTDATA("dato",'[1]tabla dinámica EM'!$A$58,"categoría","Hoteleros","mes",4,"año",2008)</f>
        <v>8.24</v>
      </c>
      <c r="E40" s="342">
        <f>GETPIVOTDATA("dato",'[1]tabla dinámica EM'!$A$58,"categoría","EXTRAHOTELEROS","mes",4,"año",2008)</f>
        <v>9.17</v>
      </c>
      <c r="F40" s="342">
        <f>GETPIVOTDATA("dato",'[1]tabla dinámica EM'!$A$58,"categoría","TOTAL","mes",4,"año",2008)</f>
        <v>8.5500000000000007</v>
      </c>
      <c r="G40" s="342">
        <f>GETPIVOTDATA("Suma de hotel z4",'[1]tabla dinámica EM men'!$A$4,"MES","4","AÑO",2008)</f>
        <v>7.7785906102416886</v>
      </c>
      <c r="H40" s="342">
        <f>GETPIVOTDATA("Suma de extra-h z4",'[1]tabla dinámica EM men'!$A$4,"MES","4","AÑO",2008)</f>
        <v>9.0198988574639447</v>
      </c>
      <c r="I40" s="342">
        <f>GETPIVOTDATA("Suma de TOTAL z4",'[1]tabla dinámica EM men'!$A$4,"MES","4","AÑO",2008)</f>
        <v>8.3011562553223701</v>
      </c>
      <c r="J40" s="342">
        <f>GETPIVOTDATA("Suma de TOTAL HOTELERO",'[1]tabla dinámica EM men'!$A$4,"MES","4","AÑO",2008)</f>
        <v>7.3618816560348685</v>
      </c>
      <c r="K40" s="342">
        <f>GETPIVOTDATA("Suma de extrahoteleros",'[1]tabla dinámica EM men'!$A$4,"MES","4","AÑO",2008)</f>
        <v>8.9058894179213315</v>
      </c>
      <c r="L40" s="342">
        <f>GETPIVOTDATA("Suma de TOTAL general",'[1]tabla dinámica EM men'!$A$4,"MES","4","AÑO",2008)</f>
        <v>7.9554266761520234</v>
      </c>
    </row>
    <row r="41" spans="3:12" hidden="1" outlineLevel="1">
      <c r="C41" s="51" t="s">
        <v>46</v>
      </c>
      <c r="D41" s="342">
        <f>GETPIVOTDATA("dato",'[1]tabla dinámica EM'!$A$58,"categoría","Hoteleros","mes",3,"año",2008)</f>
        <v>7.76</v>
      </c>
      <c r="E41" s="342">
        <f>GETPIVOTDATA("dato",'[1]tabla dinámica EM'!$A$58,"categoría","EXTRAHOTELEROS","mes",3,"año",2008)</f>
        <v>9.09</v>
      </c>
      <c r="F41" s="342">
        <f>GETPIVOTDATA("dato",'[1]tabla dinámica EM'!$A$58,"categoría","TOTAL","mes",3,"año",2008)</f>
        <v>8.23</v>
      </c>
      <c r="G41" s="342">
        <f>GETPIVOTDATA("Suma de hotel z4",'[1]tabla dinámica EM men'!$A$4,"MES","3","AÑO",2008)</f>
        <v>7.6268251712107507</v>
      </c>
      <c r="H41" s="342">
        <f>GETPIVOTDATA("Suma de extra-h z4",'[1]tabla dinámica EM men'!$A$4,"MES","3","AÑO",2008)</f>
        <v>8.792477593188778</v>
      </c>
      <c r="I41" s="342">
        <f>GETPIVOTDATA("Suma de TOTAL z4",'[1]tabla dinámica EM men'!$A$4,"MES","3","AÑO",2008)</f>
        <v>8.1635080452527706</v>
      </c>
      <c r="J41" s="342">
        <f>GETPIVOTDATA("Suma de TOTAL HOTELERO",'[1]tabla dinámica EM men'!$A$4,"MES","3","AÑO",2008)</f>
        <v>7.1430596918735203</v>
      </c>
      <c r="K41" s="342">
        <f>GETPIVOTDATA("Suma de extrahoteleros",'[1]tabla dinámica EM men'!$A$4,"MES","3","AÑO",2008)</f>
        <v>8.8028733664995844</v>
      </c>
      <c r="L41" s="342">
        <f>GETPIVOTDATA("Suma de TOTAL general",'[1]tabla dinámica EM men'!$A$4,"MES","3","AÑO",2008)</f>
        <v>7.8397702737544854</v>
      </c>
    </row>
    <row r="42" spans="3:12" hidden="1" outlineLevel="1">
      <c r="C42" s="51" t="s">
        <v>47</v>
      </c>
      <c r="D42" s="342">
        <f>GETPIVOTDATA("dato",'[1]tabla dinámica EM'!$A$58,"categoría","Hoteleros","mes",2,"año",2008)</f>
        <v>7.97</v>
      </c>
      <c r="E42" s="342">
        <f>GETPIVOTDATA("dato",'[1]tabla dinámica EM'!$A$58,"categoría","EXTRAHOTELEROS","mes",2,"año",2008)</f>
        <v>8.85</v>
      </c>
      <c r="F42" s="342">
        <f>GETPIVOTDATA("dato",'[1]tabla dinámica EM'!$A$58,"categoría","TOTAL","mes",2,"año",2008)</f>
        <v>8.3000000000000007</v>
      </c>
      <c r="G42" s="342">
        <f>GETPIVOTDATA("Suma de hotel z4",'[1]tabla dinámica EM men'!$A$4,"MES","2","AÑO",2008)</f>
        <v>7.9124125126528488</v>
      </c>
      <c r="H42" s="342">
        <f>GETPIVOTDATA("Suma de extra-h z4",'[1]tabla dinámica EM men'!$A$4,"MES","2","AÑO",2008)</f>
        <v>8.6632779425740871</v>
      </c>
      <c r="I42" s="342">
        <f>GETPIVOTDATA("Suma de TOTAL z4",'[1]tabla dinámica EM men'!$A$4,"MES","2","AÑO",2008)</f>
        <v>8.2761890410653098</v>
      </c>
      <c r="J42" s="342">
        <f>GETPIVOTDATA("Suma de TOTAL HOTELERO",'[1]tabla dinámica EM men'!$A$4,"MES","2","AÑO",2008)</f>
        <v>7.4667640417562788</v>
      </c>
      <c r="K42" s="342">
        <f>GETPIVOTDATA("Suma de extrahoteleros",'[1]tabla dinámica EM men'!$A$4,"MES","2","AÑO",2008)</f>
        <v>9.0456319604563191</v>
      </c>
      <c r="L42" s="342">
        <f>GETPIVOTDATA("Suma de TOTAL general",'[1]tabla dinámica EM men'!$A$4,"MES","2","AÑO",2008)</f>
        <v>8.1501615505372698</v>
      </c>
    </row>
    <row r="43" spans="3:12" hidden="1" outlineLevel="1">
      <c r="C43" s="51" t="s">
        <v>48</v>
      </c>
      <c r="D43" s="342">
        <f>GETPIVOTDATA("dato",'[1]tabla dinámica EM'!$A$58,"categoría","Hoteleros","mes",1,"año",2008)</f>
        <v>9.5</v>
      </c>
      <c r="E43" s="342">
        <f>GETPIVOTDATA("dato",'[1]tabla dinámica EM'!$A$58,"categoría","EXTRAHOTELEROS","mes",1,"año",2008)</f>
        <v>10.47</v>
      </c>
      <c r="F43" s="342">
        <f>GETPIVOTDATA("dato",'[1]tabla dinámica EM'!$A$58,"categoría","TOTAL","mes",1,"año",2008)</f>
        <v>9.86</v>
      </c>
      <c r="G43" s="342">
        <f>GETPIVOTDATA("Suma de hotel z4",'[1]tabla dinámica EM men'!$A$4,"MES","1","AÑO",2008)</f>
        <v>9.0289604368189416</v>
      </c>
      <c r="H43" s="342">
        <f>GETPIVOTDATA("Suma de extra-h z4",'[1]tabla dinámica EM men'!$A$4,"MES","1","AÑO",2008)</f>
        <v>10.244412087419175</v>
      </c>
      <c r="I43" s="342">
        <f>GETPIVOTDATA("Suma de TOTAL z4",'[1]tabla dinámica EM men'!$A$4,"MES","1","AÑO",2008)</f>
        <v>9.5883468258026401</v>
      </c>
      <c r="J43" s="342">
        <f>GETPIVOTDATA("Suma de TOTAL HOTELERO",'[1]tabla dinámica EM men'!$A$4,"MES","1","AÑO",2008)</f>
        <v>8.414077465972106</v>
      </c>
      <c r="K43" s="342">
        <f>GETPIVOTDATA("Suma de extrahoteleros",'[1]tabla dinámica EM men'!$A$4,"MES","1","AÑO",2008)</f>
        <v>10.465007250723616</v>
      </c>
      <c r="L43" s="342">
        <f>GETPIVOTDATA("Suma de TOTAL general",'[1]tabla dinámica EM men'!$A$4,"MES","1","AÑO",2008)</f>
        <v>9.2735322040185775</v>
      </c>
    </row>
    <row r="44" spans="3:12" collapsed="1">
      <c r="C44" s="58">
        <v>2008</v>
      </c>
      <c r="D44" s="346">
        <f>'[1]tabla dinámica EM'!D334</f>
        <v>8.2702065580419415</v>
      </c>
      <c r="E44" s="346">
        <f>'[1]tabla dinámica EM'!D321</f>
        <v>9.0178960397852528</v>
      </c>
      <c r="F44" s="346">
        <f>'[1]tabla dinámica EM'!D347</f>
        <v>8.5401565474931243</v>
      </c>
      <c r="G44" s="346">
        <f>GETPIVOTDATA("Suma de hotel z4",'[1]tabla dinámica EM men'!$A$262,"MES","12","AÑO",2008)</f>
        <v>7.9518811486908438</v>
      </c>
      <c r="H44" s="346">
        <f>GETPIVOTDATA("Suma de extra-h z4",'[1]tabla dinámica EM men'!$A$262,"MES","12","AÑO",2008)</f>
        <v>8.8084546446539278</v>
      </c>
      <c r="I44" s="346">
        <f>GETPIVOTDATA("Suma de TOTAL z4",'[1]tabla dinámica EM men'!$A$262,"MES","12","AÑO",2008)</f>
        <v>8.3372408773079325</v>
      </c>
      <c r="J44" s="346">
        <f>GETPIVOTDATA("Suma de TOTAL HOTELERO",'[1]tabla dinámica EM men'!$A$262,"MES","12","AÑO",2008)</f>
        <v>7.3795307445182061</v>
      </c>
      <c r="K44" s="346">
        <f>GETPIVOTDATA("Suma de extrahoteleros",'[1]tabla dinámica EM men'!$A$262,"MES","12","AÑO",2008)</f>
        <v>8.7625754027458651</v>
      </c>
      <c r="L44" s="346">
        <f>GETPIVOTDATA("Suma de TOTAL general",'[1]tabla dinámica EM men'!$A$262,"MES","12","AÑO",2008)</f>
        <v>7.9477471819107173</v>
      </c>
    </row>
    <row r="45" spans="3:12" hidden="1" outlineLevel="1">
      <c r="C45" s="51" t="s">
        <v>37</v>
      </c>
      <c r="D45" s="342">
        <f>GETPIVOTDATA("dato",'[1]tabla dinámica EM'!$A$58,"categoría","Hoteleros","mes",12,"año",2007)</f>
        <v>8.64</v>
      </c>
      <c r="E45" s="342">
        <f>GETPIVOTDATA("dato",'[1]tabla dinámica EM'!$A$58,"categoría","EXTRAHOTELEROS","mes",12,"año",2007)</f>
        <v>9.8699999999999992</v>
      </c>
      <c r="F45" s="342">
        <f>GETPIVOTDATA("dato",'[1]tabla dinámica EM'!$A$58,"categoría","TOTAL","mes",12,"año",2007)</f>
        <v>9.09</v>
      </c>
      <c r="G45" s="342">
        <f>GETPIVOTDATA("Suma de hotel z4",'[1]tabla dinámica EM men'!$A$4,"MES","12","AÑO",2007)</f>
        <v>8.2171997190081694</v>
      </c>
      <c r="H45" s="342">
        <f>GETPIVOTDATA("Suma de extra-h z4",'[1]tabla dinámica EM men'!$A$4,"MES","12","AÑO",2007)</f>
        <v>9.2583822766487547</v>
      </c>
      <c r="I45" s="342">
        <f>GETPIVOTDATA("Suma de TOTAL z4",'[1]tabla dinámica EM men'!$A$4,"MES","12","AÑO",2007)</f>
        <v>8.7122449601071921</v>
      </c>
      <c r="J45" s="342">
        <f>GETPIVOTDATA("Suma de TOTAL HOTELERO",'[1]tabla dinámica EM men'!$A$4,"MES","12","AÑO",2007)</f>
        <v>7.4946747507799403</v>
      </c>
      <c r="K45" s="342">
        <f>GETPIVOTDATA("Suma de extrahoteleros",'[1]tabla dinámica EM men'!$A$4,"MES","12","AÑO",2007)</f>
        <v>9.2811047957747217</v>
      </c>
      <c r="L45" s="342">
        <f>GETPIVOTDATA("Suma de TOTAL general",'[1]tabla dinámica EM men'!$A$4,"MES","12","AÑO",2007)</f>
        <v>8.2647694918966277</v>
      </c>
    </row>
    <row r="46" spans="3:12" hidden="1" outlineLevel="1">
      <c r="C46" s="51" t="s">
        <v>38</v>
      </c>
      <c r="D46" s="342">
        <f>GETPIVOTDATA("dato",'[1]tabla dinámica EM'!$A$58,"categoría","Hoteleros","mes",11,"año",2007)</f>
        <v>8.18</v>
      </c>
      <c r="E46" s="342">
        <f>GETPIVOTDATA("dato",'[1]tabla dinámica EM'!$A$58,"categoría","EXTRAHOTELEROS","mes",11,"año",2007)</f>
        <v>8.6199999999999992</v>
      </c>
      <c r="F46" s="342">
        <f>GETPIVOTDATA("dato",'[1]tabla dinámica EM'!$A$58,"categoría","TOTAL","mes",11,"año",2007)</f>
        <v>8.35</v>
      </c>
      <c r="G46" s="342">
        <f>GETPIVOTDATA("Suma de hotel z4",'[1]tabla dinámica EM men'!$A$4,"MES","11","AÑO",2007)</f>
        <v>7.9422851110129598</v>
      </c>
      <c r="H46" s="342">
        <f>GETPIVOTDATA("Suma de extra-h z4",'[1]tabla dinámica EM men'!$A$4,"MES","11","AÑO",2007)</f>
        <v>8.6849675186691755</v>
      </c>
      <c r="I46" s="342">
        <f>GETPIVOTDATA("Suma de TOTAL z4",'[1]tabla dinámica EM men'!$A$4,"MES","11","AÑO",2007)</f>
        <v>8.2914283430946103</v>
      </c>
      <c r="J46" s="342">
        <f>GETPIVOTDATA("Suma de TOTAL HOTELERO",'[1]tabla dinámica EM men'!$A$4,"MES","11","AÑO",2007)</f>
        <v>7.3514836457463764</v>
      </c>
      <c r="K46" s="342">
        <f>GETPIVOTDATA("Suma de extrahoteleros",'[1]tabla dinámica EM men'!$A$4,"MES","11","AÑO",2007)</f>
        <v>8.8246249806691068</v>
      </c>
      <c r="L46" s="342">
        <f>GETPIVOTDATA("Suma de TOTAL general",'[1]tabla dinámica EM men'!$A$4,"MES","11","AÑO",2007)</f>
        <v>7.9760868139794114</v>
      </c>
    </row>
    <row r="47" spans="3:12" hidden="1" outlineLevel="1">
      <c r="C47" s="51" t="s">
        <v>39</v>
      </c>
      <c r="D47" s="342">
        <f>GETPIVOTDATA("dato",'[1]tabla dinámica EM'!$A$58,"categoría","Hoteleros","mes",10,"año",2007)</f>
        <v>7.7</v>
      </c>
      <c r="E47" s="342">
        <f>GETPIVOTDATA("dato",'[1]tabla dinámica EM'!$A$58,"categoría","EXTRAHOTELEROS","mes",10,"año",2007)</f>
        <v>8.69</v>
      </c>
      <c r="F47" s="342">
        <f>GETPIVOTDATA("dato",'[1]tabla dinámica EM'!$A$58,"categoría","TOTAL","mes",10,"año",2007)</f>
        <v>8.0500000000000007</v>
      </c>
      <c r="G47" s="342">
        <f>GETPIVOTDATA("Suma de hotel z4",'[1]tabla dinámica EM men'!$A$4,"MES","10","AÑO",2007)</f>
        <v>7.3990402733462304</v>
      </c>
      <c r="H47" s="342">
        <f>GETPIVOTDATA("Suma de extra-h z4",'[1]tabla dinámica EM men'!$A$4,"MES","10","AÑO",2007)</f>
        <v>8.3739057101319752</v>
      </c>
      <c r="I47" s="342">
        <f>GETPIVOTDATA("Suma de TOTAL z4",'[1]tabla dinámica EM men'!$A$4,"MES","10","AÑO",2007)</f>
        <v>7.8318310850833175</v>
      </c>
      <c r="J47" s="342">
        <f>GETPIVOTDATA("Suma de TOTAL HOTELERO",'[1]tabla dinámica EM men'!$A$4,"MES","10","AÑO",2007)</f>
        <v>6.8196304396794138</v>
      </c>
      <c r="K47" s="342">
        <f>GETPIVOTDATA("Suma de extrahoteleros",'[1]tabla dinámica EM men'!$A$4,"MES","10","AÑO",2007)</f>
        <v>8.1746500745187554</v>
      </c>
      <c r="L47" s="342">
        <f>GETPIVOTDATA("Suma de TOTAL general",'[1]tabla dinámica EM men'!$A$4,"MES","10","AÑO",2007)</f>
        <v>7.3762587125169112</v>
      </c>
    </row>
    <row r="48" spans="3:12" hidden="1" outlineLevel="1">
      <c r="C48" s="51" t="s">
        <v>40</v>
      </c>
      <c r="D48" s="342">
        <f>GETPIVOTDATA("dato",'[1]tabla dinámica EM'!$A$58,"categoría","Hoteleros","mes",9,"año",2007)</f>
        <v>8.44</v>
      </c>
      <c r="E48" s="342">
        <f>GETPIVOTDATA("dato",'[1]tabla dinámica EM'!$A$58,"categoría","EXTRAHOTELEROS","mes",9,"año",2007)</f>
        <v>9.32</v>
      </c>
      <c r="F48" s="342">
        <f>GETPIVOTDATA("dato",'[1]tabla dinámica EM'!$A$58,"categoría","TOTAL","mes",9,"año",2007)</f>
        <v>8.73</v>
      </c>
      <c r="G48" s="342">
        <f>GETPIVOTDATA("Suma de hotel z4",'[1]tabla dinámica EM men'!$A$4,"MES","9","AÑO",2007)</f>
        <v>7.9447297335721805</v>
      </c>
      <c r="H48" s="342">
        <f>GETPIVOTDATA("Suma de extra-h z4",'[1]tabla dinámica EM men'!$A$4,"MES","9","AÑO",2007)</f>
        <v>9.1487077534791261</v>
      </c>
      <c r="I48" s="342">
        <f>GETPIVOTDATA("Suma de TOTAL z4",'[1]tabla dinámica EM men'!$A$4,"MES","9","AÑO",2007)</f>
        <v>8.4467282282531215</v>
      </c>
      <c r="J48" s="342">
        <f>GETPIVOTDATA("Suma de TOTAL HOTELERO",'[1]tabla dinámica EM men'!$A$4,"MES","9","AÑO",2007)</f>
        <v>7.2523424585656064</v>
      </c>
      <c r="K48" s="342">
        <f>GETPIVOTDATA("Suma de extrahoteleros",'[1]tabla dinámica EM men'!$A$4,"MES","9","AÑO",2007)</f>
        <v>8.8422440723101339</v>
      </c>
      <c r="L48" s="342">
        <f>GETPIVOTDATA("Suma de TOTAL general",'[1]tabla dinámica EM men'!$A$4,"MES","9","AÑO",2007)</f>
        <v>7.8585780921625918</v>
      </c>
    </row>
    <row r="49" spans="3:12" hidden="1" outlineLevel="1">
      <c r="C49" s="51" t="s">
        <v>41</v>
      </c>
      <c r="D49" s="342">
        <f>GETPIVOTDATA("dato",'[1]tabla dinámica EM'!$A$58,"categoría","Hoteleros","mes",8,"año",2007)</f>
        <v>8.66</v>
      </c>
      <c r="E49" s="342">
        <f>GETPIVOTDATA("dato",'[1]tabla dinámica EM'!$A$58,"categoría","EXTRAHOTELEROS","mes",8,"año",2007)</f>
        <v>9.07</v>
      </c>
      <c r="F49" s="342">
        <f>GETPIVOTDATA("dato",'[1]tabla dinámica EM'!$A$58,"categoría","TOTAL","mes",8,"año",2007)</f>
        <v>8.82</v>
      </c>
      <c r="G49" s="342">
        <f>GETPIVOTDATA("Suma de hotel z4",'[1]tabla dinámica EM men'!$A$4,"MES","8","AÑO",2007)</f>
        <v>8.3608915255393033</v>
      </c>
      <c r="H49" s="342">
        <f>GETPIVOTDATA("Suma de extra-h z4",'[1]tabla dinámica EM men'!$A$4,"MES","8","AÑO",2007)</f>
        <v>8.8326794810765854</v>
      </c>
      <c r="I49" s="342">
        <f>GETPIVOTDATA("Suma de TOTAL z4",'[1]tabla dinámica EM men'!$A$4,"MES","8","AÑO",2007)</f>
        <v>8.5830795157624582</v>
      </c>
      <c r="J49" s="342">
        <f>GETPIVOTDATA("Suma de TOTAL HOTELERO",'[1]tabla dinámica EM men'!$A$4,"MES","8","AÑO",2007)</f>
        <v>7.6296941916488219</v>
      </c>
      <c r="K49" s="342">
        <f>GETPIVOTDATA("Suma de extrahoteleros",'[1]tabla dinámica EM men'!$A$4,"MES","8","AÑO",2007)</f>
        <v>8.4888947899979108</v>
      </c>
      <c r="L49" s="342">
        <f>GETPIVOTDATA("Suma de TOTAL general",'[1]tabla dinámica EM men'!$A$4,"MES","8","AÑO",2007)</f>
        <v>8.0030798801343952</v>
      </c>
    </row>
    <row r="50" spans="3:12" hidden="1" outlineLevel="1">
      <c r="C50" s="51" t="s">
        <v>42</v>
      </c>
      <c r="D50" s="342">
        <f>GETPIVOTDATA("dato",'[1]tabla dinámica EM'!$A$58,"categoría","Hoteleros","mes",7,"año",2007)</f>
        <v>8.4600000000000009</v>
      </c>
      <c r="E50" s="342">
        <f>GETPIVOTDATA("dato",'[1]tabla dinámica EM'!$A$58,"categoría","EXTRAHOTELEROS","mes",7,"año",2007)</f>
        <v>9.4700000000000006</v>
      </c>
      <c r="F50" s="342">
        <f>GETPIVOTDATA("dato",'[1]tabla dinámica EM'!$A$58,"categoría","TOTAL","mes",7,"año",2007)</f>
        <v>8.81</v>
      </c>
      <c r="G50" s="342">
        <f>GETPIVOTDATA("Suma de hotel z4",'[1]tabla dinámica EM men'!$A$4,"MES","7","AÑO",2007)</f>
        <v>8.0781641843840575</v>
      </c>
      <c r="H50" s="342">
        <f>GETPIVOTDATA("Suma de extra-h z4",'[1]tabla dinámica EM men'!$A$4,"MES","7","AÑO",2007)</f>
        <v>9.2472790187702447</v>
      </c>
      <c r="I50" s="342">
        <f>GETPIVOTDATA("Suma de TOTAL z4",'[1]tabla dinámica EM men'!$A$4,"MES","7","AÑO",2007)</f>
        <v>8.5931503450231599</v>
      </c>
      <c r="J50" s="342">
        <f>GETPIVOTDATA("Suma de TOTAL HOTELERO",'[1]tabla dinámica EM men'!$A$4,"MES","7","AÑO",2007)</f>
        <v>7.3148288394711001</v>
      </c>
      <c r="K50" s="342">
        <f>GETPIVOTDATA("Suma de extrahoteleros",'[1]tabla dinámica EM men'!$A$4,"MES","7","AÑO",2007)</f>
        <v>8.7486146890279173</v>
      </c>
      <c r="L50" s="342">
        <f>GETPIVOTDATA("Suma de TOTAL general",'[1]tabla dinámica EM men'!$A$4,"MES","7","AÑO",2007)</f>
        <v>7.8998410481810639</v>
      </c>
    </row>
    <row r="51" spans="3:12" hidden="1" outlineLevel="1">
      <c r="C51" s="51" t="s">
        <v>43</v>
      </c>
      <c r="D51" s="342">
        <f>GETPIVOTDATA("dato",'[1]tabla dinámica EM'!$A$58,"categoría","Hoteleros","mes",6,"año",2007)</f>
        <v>7.28</v>
      </c>
      <c r="E51" s="342">
        <f>GETPIVOTDATA("dato",'[1]tabla dinámica EM'!$A$58,"categoría","EXTRAHOTELEROS","mes",6,"año",2007)</f>
        <v>8.2200000000000006</v>
      </c>
      <c r="F51" s="342">
        <f>GETPIVOTDATA("dato",'[1]tabla dinámica EM'!$A$58,"categoría","TOTAL","mes",6,"año",2007)</f>
        <v>7.6</v>
      </c>
      <c r="G51" s="342">
        <f>GETPIVOTDATA("Suma de hotel z4",'[1]tabla dinámica EM men'!$A$4,"MES","6","AÑO",2007)</f>
        <v>7.2271604652642418</v>
      </c>
      <c r="H51" s="342">
        <f>GETPIVOTDATA("Suma de extra-h z4",'[1]tabla dinámica EM men'!$A$4,"MES","6","AÑO",2007)</f>
        <v>8.0431170976846644</v>
      </c>
      <c r="I51" s="342">
        <f>GETPIVOTDATA("Suma de TOTAL z4",'[1]tabla dinámica EM men'!$A$4,"MES","6","AÑO",2007)</f>
        <v>7.578497371783893</v>
      </c>
      <c r="J51" s="342">
        <f>GETPIVOTDATA("Suma de TOTAL HOTELERO",'[1]tabla dinámica EM men'!$A$4,"MES","6","AÑO",2007)</f>
        <v>6.7198768956650268</v>
      </c>
      <c r="K51" s="342">
        <f>GETPIVOTDATA("Suma de extrahoteleros",'[1]tabla dinámica EM men'!$A$4,"MES","6","AÑO",2007)</f>
        <v>7.7306944292503861</v>
      </c>
      <c r="L51" s="342">
        <f>GETPIVOTDATA("Suma de TOTAL general",'[1]tabla dinámica EM men'!$A$4,"MES","6","AÑO",2007)</f>
        <v>7.1240683090188419</v>
      </c>
    </row>
    <row r="52" spans="3:12" hidden="1" outlineLevel="1">
      <c r="C52" s="51" t="s">
        <v>44</v>
      </c>
      <c r="D52" s="342">
        <f>GETPIVOTDATA("dato",'[1]tabla dinámica EM'!$A$58,"categoría","Hoteleros","mes",5,"año",2007)</f>
        <v>7.92</v>
      </c>
      <c r="E52" s="342">
        <f>GETPIVOTDATA("dato",'[1]tabla dinámica EM'!$A$58,"categoría","EXTRAHOTELEROS","mes",5,"año",2007)</f>
        <v>10.28</v>
      </c>
      <c r="F52" s="342">
        <f>GETPIVOTDATA("dato",'[1]tabla dinámica EM'!$A$58,"categoría","TOTAL","mes",5,"año",2007)</f>
        <v>8.66</v>
      </c>
      <c r="G52" s="342">
        <f>GETPIVOTDATA("Suma de hotel z4",'[1]tabla dinámica EM men'!$A$4,"MES","5","AÑO",2007)</f>
        <v>7.9285475633621303</v>
      </c>
      <c r="H52" s="342">
        <f>GETPIVOTDATA("Suma de extra-h z4",'[1]tabla dinámica EM men'!$A$4,"MES","5","AÑO",2007)</f>
        <v>9.4722458628841615</v>
      </c>
      <c r="I52" s="342">
        <f>GETPIVOTDATA("Suma de TOTAL z4",'[1]tabla dinámica EM men'!$A$4,"MES","5","AÑO",2007)</f>
        <v>8.5753049638084526</v>
      </c>
      <c r="J52" s="342">
        <f>GETPIVOTDATA("Suma de TOTAL HOTELERO",'[1]tabla dinámica EM men'!$A$4,"MES","5","AÑO",2007)</f>
        <v>7.2189774087514964</v>
      </c>
      <c r="K52" s="342">
        <f>GETPIVOTDATA("Suma de extrahoteleros",'[1]tabla dinámica EM men'!$A$4,"MES","5","AÑO",2007)</f>
        <v>9.080218882842729</v>
      </c>
      <c r="L52" s="342">
        <f>GETPIVOTDATA("Suma de TOTAL general",'[1]tabla dinámica EM men'!$A$4,"MES","5","AÑO",2007)</f>
        <v>7.9330001493179685</v>
      </c>
    </row>
    <row r="53" spans="3:12" hidden="1" outlineLevel="1">
      <c r="C53" s="51" t="s">
        <v>45</v>
      </c>
      <c r="D53" s="342">
        <f>GETPIVOTDATA("dato",'[1]tabla dinámica EM'!$A$58,"categoría","Hoteleros","mes",4,"año",2007)</f>
        <v>7.47</v>
      </c>
      <c r="E53" s="342">
        <f>GETPIVOTDATA("dato",'[1]tabla dinámica EM'!$A$58,"categoría","EXTRAHOTELEROS","mes",4,"año",2007)</f>
        <v>9.18</v>
      </c>
      <c r="F53" s="342">
        <f>GETPIVOTDATA("dato",'[1]tabla dinámica EM'!$A$58,"categoría","TOTAL","mes",4,"año",2007)</f>
        <v>8.06</v>
      </c>
      <c r="G53" s="342">
        <f>GETPIVOTDATA("Suma de hotel z4",'[1]tabla dinámica EM men'!$A$4,"MES","4","AÑO",2007)</f>
        <v>7.3415390245740184</v>
      </c>
      <c r="H53" s="342">
        <f>GETPIVOTDATA("Suma de extra-h z4",'[1]tabla dinámica EM men'!$A$4,"MES","4","AÑO",2007)</f>
        <v>8.8102369292047307</v>
      </c>
      <c r="I53" s="342">
        <f>GETPIVOTDATA("Suma de TOTAL z4",'[1]tabla dinámica EM men'!$A$4,"MES","4","AÑO",2007)</f>
        <v>7.9754544926170761</v>
      </c>
      <c r="J53" s="342">
        <f>GETPIVOTDATA("Suma de TOTAL HOTELERO",'[1]tabla dinámica EM men'!$A$4,"MES","4","AÑO",2007)</f>
        <v>6.861529837972455</v>
      </c>
      <c r="K53" s="342">
        <f>GETPIVOTDATA("Suma de extrahoteleros",'[1]tabla dinámica EM men'!$A$4,"MES","4","AÑO",2007)</f>
        <v>8.5684325302462625</v>
      </c>
      <c r="L53" s="342">
        <f>GETPIVOTDATA("Suma de TOTAL general",'[1]tabla dinámica EM men'!$A$4,"MES","4","AÑO",2007)</f>
        <v>7.533085978591493</v>
      </c>
    </row>
    <row r="54" spans="3:12" hidden="1" outlineLevel="1">
      <c r="C54" s="51" t="s">
        <v>46</v>
      </c>
      <c r="D54" s="342">
        <f>GETPIVOTDATA("dato",'[1]tabla dinámica EM'!$A$58,"categoría","Hoteleros","mes",3,"año",2007)</f>
        <v>7.71</v>
      </c>
      <c r="E54" s="342">
        <f>GETPIVOTDATA("dato",'[1]tabla dinámica EM'!$A$58,"categoría","EXTRAHOTELEROS","mes",3,"año",2007)</f>
        <v>8.8000000000000007</v>
      </c>
      <c r="F54" s="342">
        <f>GETPIVOTDATA("dato",'[1]tabla dinámica EM'!$A$58,"categoría","TOTAL","mes",3,"año",2007)</f>
        <v>8.1300000000000008</v>
      </c>
      <c r="G54" s="342">
        <f>GETPIVOTDATA("Suma de hotel z4",'[1]tabla dinámica EM men'!$A$4,"MES","3","AÑO",2007)</f>
        <v>7.7142484382434651</v>
      </c>
      <c r="H54" s="342">
        <f>GETPIVOTDATA("Suma de extra-h z4",'[1]tabla dinámica EM men'!$A$4,"MES","3","AÑO",2007)</f>
        <v>8.5363290868817252</v>
      </c>
      <c r="I54" s="342">
        <f>GETPIVOTDATA("Suma de TOTAL z4",'[1]tabla dinámica EM men'!$A$4,"MES","3","AÑO",2007)</f>
        <v>8.1059339399507664</v>
      </c>
      <c r="J54" s="342">
        <f>GETPIVOTDATA("Suma de TOTAL HOTELERO",'[1]tabla dinámica EM men'!$A$4,"MES","3","AÑO",2007)</f>
        <v>7.2925896752520405</v>
      </c>
      <c r="K54" s="342">
        <f>GETPIVOTDATA("Suma de extrahoteleros",'[1]tabla dinámica EM men'!$A$4,"MES","3","AÑO",2007)</f>
        <v>8.7033147233623076</v>
      </c>
      <c r="L54" s="342">
        <f>GETPIVOTDATA("Suma de TOTAL general",'[1]tabla dinámica EM men'!$A$4,"MES","3","AÑO",2007)</f>
        <v>7.9012655691175775</v>
      </c>
    </row>
    <row r="55" spans="3:12" hidden="1" outlineLevel="1">
      <c r="C55" s="51" t="s">
        <v>47</v>
      </c>
      <c r="D55" s="342">
        <f>GETPIVOTDATA("dato",'[1]tabla dinámica EM'!$A$58,"categoría","Hoteleros","mes",2,"año",2007)</f>
        <v>7.93</v>
      </c>
      <c r="E55" s="342">
        <f>GETPIVOTDATA("dato",'[1]tabla dinámica EM'!$A$58,"categoría","EXTRAHOTELEROS","mes",2,"año",2007)</f>
        <v>9.4700000000000006</v>
      </c>
      <c r="F55" s="342">
        <f>GETPIVOTDATA("dato",'[1]tabla dinámica EM'!$A$58,"categoría","TOTAL","mes",2,"año",2007)</f>
        <v>8.51</v>
      </c>
      <c r="G55" s="342">
        <f>GETPIVOTDATA("Suma de hotel z4",'[1]tabla dinámica EM men'!$A$4,"MES","2","AÑO",2007)</f>
        <v>7.94677971056863</v>
      </c>
      <c r="H55" s="342">
        <f>GETPIVOTDATA("Suma de extra-h z4",'[1]tabla dinámica EM men'!$A$4,"MES","2","AÑO",2007)</f>
        <v>9.137476580758559</v>
      </c>
      <c r="I55" s="342">
        <f>GETPIVOTDATA("Suma de TOTAL z4",'[1]tabla dinámica EM men'!$A$4,"MES","2","AÑO",2007)</f>
        <v>8.5134795585053897</v>
      </c>
      <c r="J55" s="342">
        <f>GETPIVOTDATA("Suma de TOTAL HOTELERO",'[1]tabla dinámica EM men'!$A$4,"MES","2","AÑO",2007)</f>
        <v>7.5315781664715873</v>
      </c>
      <c r="K55" s="342">
        <f>GETPIVOTDATA("Suma de extrahoteleros",'[1]tabla dinámica EM men'!$A$4,"MES","2","AÑO",2007)</f>
        <v>9.4419420689655169</v>
      </c>
      <c r="L55" s="342">
        <f>GETPIVOTDATA("Suma de TOTAL general",'[1]tabla dinámica EM men'!$A$4,"MES","2","AÑO",2007)</f>
        <v>8.3484333051811106</v>
      </c>
    </row>
    <row r="56" spans="3:12" hidden="1" outlineLevel="1">
      <c r="C56" s="51" t="s">
        <v>48</v>
      </c>
      <c r="D56" s="342">
        <f>GETPIVOTDATA("dato",'[1]tabla dinámica EM'!$A$58,"categoría","Hoteleros","mes",1,"año",2007)</f>
        <v>9.1</v>
      </c>
      <c r="E56" s="342">
        <f>GETPIVOTDATA("dato",'[1]tabla dinámica EM'!$A$58,"categoría","EXTRAHOTELEROS","mes",1,"año",2007)</f>
        <v>10.45</v>
      </c>
      <c r="F56" s="342">
        <f>GETPIVOTDATA("dato",'[1]tabla dinámica EM'!$A$58,"categoría","TOTAL","mes",1,"año",2007)</f>
        <v>9.6</v>
      </c>
      <c r="G56" s="342">
        <f>GETPIVOTDATA("Suma de hotel z4",'[1]tabla dinámica EM men'!$A$4,"MES","1","AÑO",2007)</f>
        <v>8.9176826011087229</v>
      </c>
      <c r="H56" s="342">
        <f>GETPIVOTDATA("Suma de extra-h z4",'[1]tabla dinámica EM men'!$A$4,"MES","1","AÑO",2007)</f>
        <v>10.129874098096542</v>
      </c>
      <c r="I56" s="342">
        <f>GETPIVOTDATA("Suma de TOTAL z4",'[1]tabla dinámica EM men'!$A$4,"MES","1","AÑO",2007)</f>
        <v>9.4762947104322475</v>
      </c>
      <c r="J56" s="342">
        <f>GETPIVOTDATA("Suma de TOTAL HOTELERO",'[1]tabla dinámica EM men'!$A$4,"MES","1","AÑO",2007)</f>
        <v>8.3597658103436583</v>
      </c>
      <c r="K56" s="342">
        <f>GETPIVOTDATA("Suma de extrahoteleros",'[1]tabla dinámica EM men'!$A$4,"MES","1","AÑO",2007)</f>
        <v>10.348010848852571</v>
      </c>
      <c r="L56" s="342">
        <f>GETPIVOTDATA("Suma de TOTAL general",'[1]tabla dinámica EM men'!$A$4,"MES","1","AÑO",2007)</f>
        <v>9.1952442241468244</v>
      </c>
    </row>
    <row r="57" spans="3:12" collapsed="1">
      <c r="C57" s="58">
        <v>2007</v>
      </c>
      <c r="D57" s="346">
        <f>'[1]tabla dinámica EM'!C334</f>
        <v>8.118330168873424</v>
      </c>
      <c r="E57" s="346">
        <f>'[1]tabla dinámica EM'!C321</f>
        <v>9.2429870415633388</v>
      </c>
      <c r="F57" s="346">
        <f>'[1]tabla dinámica EM'!C347</f>
        <v>8.5232466644042173</v>
      </c>
      <c r="G57" s="346">
        <f>GETPIVOTDATA("Suma de hotel z4",'[1]tabla dinámica EM men'!$A$262,"MES","12","AÑO",2007)</f>
        <v>7.9121208416847537</v>
      </c>
      <c r="H57" s="346">
        <f>GETPIVOTDATA("Suma de extra-h z4",'[1]tabla dinámica EM men'!$A$262,"MES","12","AÑO",2007)</f>
        <v>8.9517958338262247</v>
      </c>
      <c r="I57" s="346">
        <f>GETPIVOTDATA("Suma de TOTAL z4",'[1]tabla dinámica EM men'!$A$262,"MES","12","AÑO",2007)</f>
        <v>8.3826456592935799</v>
      </c>
      <c r="J57" s="346">
        <f>GETPIVOTDATA("Suma de TOTAL HOTELERO",'[1]tabla dinámica EM men'!$A$262,"MES","12","AÑO",2007)</f>
        <v>7.315456957864213</v>
      </c>
      <c r="K57" s="346">
        <f>GETPIVOTDATA("Suma de extrahoteleros",'[1]tabla dinámica EM men'!$A$262,"MES","12","AÑO",2007)</f>
        <v>8.8378839707738877</v>
      </c>
      <c r="L57" s="346">
        <f>GETPIVOTDATA("Suma de TOTAL general",'[1]tabla dinámica EM men'!$A$262,"MES","12","AÑO",2007)</f>
        <v>7.9448414634885607</v>
      </c>
    </row>
    <row r="58" spans="3:12" hidden="1" outlineLevel="1">
      <c r="C58" s="51" t="s">
        <v>37</v>
      </c>
      <c r="D58" s="342">
        <f>GETPIVOTDATA("dato",'[1]tabla dinámica EM'!$A$58,"categoría","Hoteleros","mes",12,"año",2006)</f>
        <v>7.87</v>
      </c>
      <c r="E58" s="342">
        <f>GETPIVOTDATA("dato",'[1]tabla dinámica EM'!$A$58,"categoría","EXTRAHOTELEROS","mes",12,"año",2006)</f>
        <v>8.75</v>
      </c>
      <c r="F58" s="342">
        <f>GETPIVOTDATA("dato",'[1]tabla dinámica EM'!$A$58,"categoría","TOTAL","mes",12,"año",2006)</f>
        <v>8.1999999999999993</v>
      </c>
      <c r="G58" s="342">
        <f>GETPIVOTDATA("Suma de hotel z4",'[1]tabla dinámica EM men'!$A$4,"MES","12","AÑO",2006)</f>
        <v>7.8086184344869833</v>
      </c>
      <c r="H58" s="342">
        <f>GETPIVOTDATA("Suma de extra-h z4",'[1]tabla dinámica EM men'!$A$4,"MES","12","AÑO",2006)</f>
        <v>8.5274072561513936</v>
      </c>
      <c r="I58" s="342">
        <f>GETPIVOTDATA("Suma de TOTAL z4",'[1]tabla dinámica EM men'!$A$4,"MES","12","AÑO",2006)</f>
        <v>8.1528329019269492</v>
      </c>
      <c r="J58" s="342">
        <f>GETPIVOTDATA("Suma de TOTAL HOTELERO",'[1]tabla dinámica EM men'!$A$4,"MES","12","AÑO",2006)</f>
        <v>7.2528910387519732</v>
      </c>
      <c r="K58" s="342">
        <f>GETPIVOTDATA("Suma de extrahoteleros",'[1]tabla dinámica EM men'!$A$4,"MES","12","AÑO",2006)</f>
        <v>8.6288749818075967</v>
      </c>
      <c r="L58" s="342">
        <f>GETPIVOTDATA("Suma de TOTAL general",'[1]tabla dinámica EM men'!$A$4,"MES","12","AÑO",2006)</f>
        <v>7.8535863971272892</v>
      </c>
    </row>
    <row r="59" spans="3:12" hidden="1" outlineLevel="1">
      <c r="C59" s="51" t="s">
        <v>38</v>
      </c>
      <c r="D59" s="342">
        <f>GETPIVOTDATA("dato",'[1]tabla dinámica EM'!$A$58,"categoría","Hoteleros","mes",11,"año",2006)</f>
        <v>7.97</v>
      </c>
      <c r="E59" s="342">
        <f>GETPIVOTDATA("dato",'[1]tabla dinámica EM'!$A$58,"categoría","EXTRAHOTELEROS","mes",11,"año",2006)</f>
        <v>10.119999999999999</v>
      </c>
      <c r="F59" s="342">
        <f>GETPIVOTDATA("dato",'[1]tabla dinámica EM'!$A$58,"categoría","TOTAL","mes",11,"año",2006)</f>
        <v>8.6999999999999993</v>
      </c>
      <c r="G59" s="342">
        <f>GETPIVOTDATA("Suma de hotel z4",'[1]tabla dinámica EM men'!$A$4,"MES","11","AÑO",2006)</f>
        <v>7.8803334803803864</v>
      </c>
      <c r="H59" s="342">
        <f>GETPIVOTDATA("Suma de extra-h z4",'[1]tabla dinámica EM men'!$A$4,"MES","11","AÑO",2006)</f>
        <v>9.7703596271754964</v>
      </c>
      <c r="I59" s="342">
        <f>GETPIVOTDATA("Suma de TOTAL z4",'[1]tabla dinámica EM men'!$A$4,"MES","11","AÑO",2006)</f>
        <v>8.7275245328362576</v>
      </c>
      <c r="J59" s="342">
        <f>GETPIVOTDATA("Suma de TOTAL HOTELERO",'[1]tabla dinámica EM men'!$A$4,"MES","11","AÑO",2006)</f>
        <v>7.3103328993139902</v>
      </c>
      <c r="K59" s="342">
        <f>GETPIVOTDATA("Suma de extrahoteleros",'[1]tabla dinámica EM men'!$A$4,"MES","11","AÑO",2006)</f>
        <v>9.7294296213452629</v>
      </c>
      <c r="L59" s="342">
        <f>GETPIVOTDATA("Suma de TOTAL general",'[1]tabla dinámica EM men'!$A$4,"MES","11","AÑO",2006)</f>
        <v>8.2904838198813042</v>
      </c>
    </row>
    <row r="60" spans="3:12" hidden="1" outlineLevel="1">
      <c r="C60" s="51" t="s">
        <v>39</v>
      </c>
      <c r="D60" s="342">
        <f>GETPIVOTDATA("dato",'[1]tabla dinámica EM'!$A$58,"categoría","Hoteleros","mes",10,"año",2006)</f>
        <v>7.72</v>
      </c>
      <c r="E60" s="342">
        <f>GETPIVOTDATA("dato",'[1]tabla dinámica EM'!$A$58,"categoría","EXTRAHOTELEROS","mes",10,"año",2006)</f>
        <v>8.3800000000000008</v>
      </c>
      <c r="F60" s="342">
        <f>GETPIVOTDATA("dato",'[1]tabla dinámica EM'!$A$58,"categoría","TOTAL","mes",10,"año",2006)</f>
        <v>7.96</v>
      </c>
      <c r="G60" s="342">
        <f>GETPIVOTDATA("Suma de hotel z4",'[1]tabla dinámica EM men'!$A$4,"MES","10","AÑO",2006)</f>
        <v>7.3681348349274911</v>
      </c>
      <c r="H60" s="342">
        <f>GETPIVOTDATA("Suma de extra-h z4",'[1]tabla dinámica EM men'!$A$4,"MES","10","AÑO",2006)</f>
        <v>8.543357264322319</v>
      </c>
      <c r="I60" s="342">
        <f>GETPIVOTDATA("Suma de TOTAL z4",'[1]tabla dinámica EM men'!$A$4,"MES","10","AÑO",2006)</f>
        <v>7.9013944301797352</v>
      </c>
      <c r="J60" s="342">
        <f>GETPIVOTDATA("Suma de TOTAL HOTELERO",'[1]tabla dinámica EM men'!$A$4,"MES","10","AÑO",2006)</f>
        <v>6.9720154052692225</v>
      </c>
      <c r="K60" s="342">
        <f>GETPIVOTDATA("Suma de extrahoteleros",'[1]tabla dinámica EM men'!$A$4,"MES","10","AÑO",2006)</f>
        <v>8.3815583091522239</v>
      </c>
      <c r="L60" s="342">
        <f>GETPIVOTDATA("Suma de TOTAL general",'[1]tabla dinámica EM men'!$A$4,"MES","10","AÑO",2006)</f>
        <v>7.5615202484548449</v>
      </c>
    </row>
    <row r="61" spans="3:12" hidden="1" outlineLevel="1">
      <c r="C61" s="51" t="s">
        <v>40</v>
      </c>
      <c r="D61" s="342">
        <f>GETPIVOTDATA("dato",'[1]tabla dinámica EM'!$A$58,"categoría","Hoteleros","mes",9,"año",2006)</f>
        <v>7.93</v>
      </c>
      <c r="E61" s="342">
        <f>GETPIVOTDATA("dato",'[1]tabla dinámica EM'!$A$58,"categoría","EXTRAHOTELEROS","mes",9,"año",2006)</f>
        <v>8.25</v>
      </c>
      <c r="F61" s="342">
        <f>GETPIVOTDATA("dato",'[1]tabla dinámica EM'!$A$58,"categoría","TOTAL","mes",9,"año",2006)</f>
        <v>8.0500000000000007</v>
      </c>
      <c r="G61" s="342">
        <f>GETPIVOTDATA("Suma de hotel z4",'[1]tabla dinámica EM men'!$A$4,"MES","9","AÑO",2006)</f>
        <v>7.6964461994077</v>
      </c>
      <c r="H61" s="342">
        <f>GETPIVOTDATA("Suma de extra-h z4",'[1]tabla dinámica EM men'!$A$4,"MES","9","AÑO",2006)</f>
        <v>8.3125758702436112</v>
      </c>
      <c r="I61" s="342">
        <f>GETPIVOTDATA("Suma de TOTAL z4",'[1]tabla dinámica EM men'!$A$4,"MES","9","AÑO",2006)</f>
        <v>7.9784745718333703</v>
      </c>
      <c r="J61" s="342">
        <f>GETPIVOTDATA("Suma de TOTAL HOTELERO",'[1]tabla dinámica EM men'!$A$4,"MES","9","AÑO",2006)</f>
        <v>7.1137429583043188</v>
      </c>
      <c r="K61" s="342">
        <f>GETPIVOTDATA("Suma de extrahoteleros",'[1]tabla dinámica EM men'!$A$4,"MES","9","AÑO",2006)</f>
        <v>8.0849735334299524</v>
      </c>
      <c r="L61" s="342">
        <f>GETPIVOTDATA("Suma de TOTAL general",'[1]tabla dinámica EM men'!$A$4,"MES","9","AÑO",2006)</f>
        <v>7.5167569827946696</v>
      </c>
    </row>
    <row r="62" spans="3:12" hidden="1" outlineLevel="1">
      <c r="C62" s="51" t="s">
        <v>41</v>
      </c>
      <c r="D62" s="342">
        <f>GETPIVOTDATA("dato",'[1]tabla dinámica EM'!$A$58,"categoría","Hoteleros","mes",8,"año",2006)</f>
        <v>9.0299999999999994</v>
      </c>
      <c r="E62" s="342">
        <f>GETPIVOTDATA("dato",'[1]tabla dinámica EM'!$A$58,"categoría","EXTRAHOTELEROS","mes",8,"año",2006)</f>
        <v>10.33</v>
      </c>
      <c r="F62" s="342">
        <f>GETPIVOTDATA("dato",'[1]tabla dinámica EM'!$A$58,"categoría","TOTAL","mes",8,"año",2006)</f>
        <v>9.52</v>
      </c>
      <c r="G62" s="342">
        <f>GETPIVOTDATA("Suma de hotel z4",'[1]tabla dinámica EM men'!$A$4,"MES","8","AÑO",2006)</f>
        <v>8.582322089426933</v>
      </c>
      <c r="H62" s="342">
        <f>GETPIVOTDATA("Suma de extra-h z4",'[1]tabla dinámica EM men'!$A$4,"MES","8","AÑO",2006)</f>
        <v>9.9772864832148027</v>
      </c>
      <c r="I62" s="342">
        <f>GETPIVOTDATA("Suma de TOTAL z4",'[1]tabla dinámica EM men'!$A$4,"MES","8","AÑO",2006)</f>
        <v>9.2403179223904335</v>
      </c>
      <c r="J62" s="342">
        <f>GETPIVOTDATA("Suma de TOTAL HOTELERO",'[1]tabla dinámica EM men'!$A$4,"MES","8","AÑO",2006)</f>
        <v>7.8349005616822618</v>
      </c>
      <c r="K62" s="342">
        <f>GETPIVOTDATA("Suma de extrahoteleros",'[1]tabla dinámica EM men'!$A$4,"MES","8","AÑO",2006)</f>
        <v>9.4413085283377622</v>
      </c>
      <c r="L62" s="342">
        <f>GETPIVOTDATA("Suma de TOTAL general",'[1]tabla dinámica EM men'!$A$4,"MES","8","AÑO",2006)</f>
        <v>8.5323330813003402</v>
      </c>
    </row>
    <row r="63" spans="3:12" hidden="1" outlineLevel="1">
      <c r="C63" s="51" t="s">
        <v>42</v>
      </c>
      <c r="D63" s="342">
        <f>GETPIVOTDATA("dato",'[1]tabla dinámica EM'!$A$58,"categoría","Hoteleros","mes",7,"año",2006)</f>
        <v>8.84</v>
      </c>
      <c r="E63" s="342">
        <f>GETPIVOTDATA("dato",'[1]tabla dinámica EM'!$A$58,"categoría","EXTRAHOTELEROS","mes",7,"año",2006)</f>
        <v>9.51</v>
      </c>
      <c r="F63" s="342">
        <f>GETPIVOTDATA("dato",'[1]tabla dinámica EM'!$A$58,"categoría","TOTAL","mes",7,"año",2006)</f>
        <v>9.09</v>
      </c>
      <c r="G63" s="342">
        <f>GETPIVOTDATA("Suma de hotel z4",'[1]tabla dinámica EM men'!$A$4,"MES","7","AÑO",2006)</f>
        <v>8.5787495221509573</v>
      </c>
      <c r="H63" s="342">
        <f>GETPIVOTDATA("Suma de extra-h z4",'[1]tabla dinámica EM men'!$A$4,"MES","7","AÑO",2006)</f>
        <v>9.568601254638093</v>
      </c>
      <c r="I63" s="342">
        <f>GETPIVOTDATA("Suma de TOTAL z4",'[1]tabla dinámica EM men'!$A$4,"MES","7","AÑO",2006)</f>
        <v>9.0404829283907393</v>
      </c>
      <c r="J63" s="342">
        <f>GETPIVOTDATA("Suma de TOTAL HOTELERO",'[1]tabla dinámica EM men'!$A$4,"MES","7","AÑO",2006)</f>
        <v>7.7226385088184308</v>
      </c>
      <c r="K63" s="342">
        <f>GETPIVOTDATA("Suma de extrahoteleros",'[1]tabla dinámica EM men'!$A$4,"MES","7","AÑO",2006)</f>
        <v>9.0453183737763219</v>
      </c>
      <c r="L63" s="342">
        <f>GETPIVOTDATA("Suma de TOTAL general",'[1]tabla dinámica EM men'!$A$4,"MES","7","AÑO",2006)</f>
        <v>8.2857186935611935</v>
      </c>
    </row>
    <row r="64" spans="3:12" hidden="1" outlineLevel="1">
      <c r="C64" s="51" t="s">
        <v>43</v>
      </c>
      <c r="D64" s="342">
        <f>GETPIVOTDATA("dato",'[1]tabla dinámica EM'!$A$58,"categoría","Hoteleros","mes",6,"año",2006)</f>
        <v>7.88</v>
      </c>
      <c r="E64" s="342">
        <f>GETPIVOTDATA("dato",'[1]tabla dinámica EM'!$A$58,"categoría","EXTRAHOTELEROS","mes",6,"año",2006)</f>
        <v>8.07</v>
      </c>
      <c r="F64" s="342">
        <f>GETPIVOTDATA("dato",'[1]tabla dinámica EM'!$A$58,"categoría","TOTAL","mes",6,"año",2006)</f>
        <v>7.95</v>
      </c>
      <c r="G64" s="342">
        <f>GETPIVOTDATA("Suma de hotel z4",'[1]tabla dinámica EM men'!$A$4,"MES","6","AÑO",2006)</f>
        <v>7.8731345025145565</v>
      </c>
      <c r="H64" s="342">
        <f>GETPIVOTDATA("Suma de extra-h z4",'[1]tabla dinámica EM men'!$A$4,"MES","6","AÑO",2006)</f>
        <v>8.1369015989565714</v>
      </c>
      <c r="I64" s="342">
        <f>GETPIVOTDATA("Suma de TOTAL z4",'[1]tabla dinámica EM men'!$A$4,"MES","6","AÑO",2006)</f>
        <v>7.9939710852362724</v>
      </c>
      <c r="J64" s="342">
        <f>GETPIVOTDATA("Suma de TOTAL HOTELERO",'[1]tabla dinámica EM men'!$A$4,"MES","6","AÑO",2006)</f>
        <v>7.2318359075385326</v>
      </c>
      <c r="K64" s="342">
        <f>GETPIVOTDATA("Suma de extrahoteleros",'[1]tabla dinámica EM men'!$A$4,"MES","6","AÑO",2006)</f>
        <v>7.86111439925594</v>
      </c>
      <c r="L64" s="342">
        <f>GETPIVOTDATA("Suma de TOTAL general",'[1]tabla dinámica EM men'!$A$4,"MES","6","AÑO",2006)</f>
        <v>7.4944380279404124</v>
      </c>
    </row>
    <row r="65" spans="3:12" hidden="1" outlineLevel="1">
      <c r="C65" s="51" t="s">
        <v>44</v>
      </c>
      <c r="D65" s="342">
        <f>GETPIVOTDATA("dato",'[1]tabla dinámica EM'!$A$58,"categoría","Hoteleros","mes",5,"año",2006)</f>
        <v>7.99</v>
      </c>
      <c r="E65" s="342">
        <f>GETPIVOTDATA("dato",'[1]tabla dinámica EM'!$A$58,"categoría","EXTRAHOTELEROS","mes",5,"año",2006)</f>
        <v>9.68</v>
      </c>
      <c r="F65" s="342">
        <f>GETPIVOTDATA("dato",'[1]tabla dinámica EM'!$A$58,"categoría","TOTAL","mes",5,"año",2006)</f>
        <v>8.5399999999999991</v>
      </c>
      <c r="G65" s="342">
        <f>GETPIVOTDATA("Suma de hotel z4",'[1]tabla dinámica EM men'!$A$4,"MES","5","AÑO",2006)</f>
        <v>7.8945974543496957</v>
      </c>
      <c r="H65" s="342">
        <f>GETPIVOTDATA("Suma de extra-h z4",'[1]tabla dinámica EM men'!$A$4,"MES","5","AÑO",2006)</f>
        <v>9.2654279802373214</v>
      </c>
      <c r="I65" s="342">
        <f>GETPIVOTDATA("Suma de TOTAL z4",'[1]tabla dinámica EM men'!$A$4,"MES","5","AÑO",2006)</f>
        <v>8.4742584299356469</v>
      </c>
      <c r="J65" s="342">
        <f>GETPIVOTDATA("Suma de TOTAL HOTELERO",'[1]tabla dinámica EM men'!$A$4,"MES","5","AÑO",2006)</f>
        <v>7.3574024025965628</v>
      </c>
      <c r="K65" s="342">
        <f>GETPIVOTDATA("Suma de extrahoteleros",'[1]tabla dinámica EM men'!$A$4,"MES","5","AÑO",2006)</f>
        <v>8.8824645600038785</v>
      </c>
      <c r="L65" s="342">
        <f>GETPIVOTDATA("Suma de TOTAL general",'[1]tabla dinámica EM men'!$A$4,"MES","5","AÑO",2006)</f>
        <v>7.9424678133252566</v>
      </c>
    </row>
    <row r="66" spans="3:12" hidden="1" outlineLevel="1">
      <c r="C66" s="51" t="s">
        <v>45</v>
      </c>
      <c r="D66" s="342">
        <f>GETPIVOTDATA("dato",'[1]tabla dinámica EM'!$A$58,"categoría","Hoteleros","mes",4,"año",2006)</f>
        <v>7.53</v>
      </c>
      <c r="E66" s="342">
        <f>GETPIVOTDATA("dato",'[1]tabla dinámica EM'!$A$58,"categoría","EXTRAHOTELEROS","mes",4,"año",2006)</f>
        <v>9.1</v>
      </c>
      <c r="F66" s="342">
        <f>GETPIVOTDATA("dato",'[1]tabla dinámica EM'!$A$58,"categoría","TOTAL","mes",4,"año",2006)</f>
        <v>8.08</v>
      </c>
      <c r="G66" s="342">
        <f>GETPIVOTDATA("Suma de hotel z4",'[1]tabla dinámica EM men'!$A$4,"MES","4","AÑO",2006)</f>
        <v>7.3372622410081183</v>
      </c>
      <c r="H66" s="342">
        <f>GETPIVOTDATA("Suma de extra-h z4",'[1]tabla dinámica EM men'!$A$4,"MES","4","AÑO",2006)</f>
        <v>8.6607313036063598</v>
      </c>
      <c r="I66" s="342">
        <f>GETPIVOTDATA("Suma de TOTAL z4",'[1]tabla dinámica EM men'!$A$4,"MES","4","AÑO",2006)</f>
        <v>7.9203589936245207</v>
      </c>
      <c r="J66" s="342">
        <f>GETPIVOTDATA("Suma de TOTAL HOTELERO",'[1]tabla dinámica EM men'!$A$4,"MES","4","AÑO",2006)</f>
        <v>6.9023675695302238</v>
      </c>
      <c r="K66" s="342">
        <f>GETPIVOTDATA("Suma de extrahoteleros",'[1]tabla dinámica EM men'!$A$4,"MES","4","AÑO",2006)</f>
        <v>8.4061503393572661</v>
      </c>
      <c r="L66" s="342">
        <f>GETPIVOTDATA("Suma de TOTAL general",'[1]tabla dinámica EM men'!$A$4,"MES","4","AÑO",2006)</f>
        <v>7.5197519854800294</v>
      </c>
    </row>
    <row r="67" spans="3:12" hidden="1" outlineLevel="1">
      <c r="C67" s="51" t="s">
        <v>46</v>
      </c>
      <c r="D67" s="342">
        <f>GETPIVOTDATA("dato",'[1]tabla dinámica EM'!$A$58,"categoría","Hoteleros","mes",3,"año",2006)</f>
        <v>8.15</v>
      </c>
      <c r="E67" s="342">
        <f>GETPIVOTDATA("dato",'[1]tabla dinámica EM'!$A$58,"categoría","EXTRAHOTELEROS","mes",3,"año",2006)</f>
        <v>9.25</v>
      </c>
      <c r="F67" s="342">
        <f>GETPIVOTDATA("dato",'[1]tabla dinámica EM'!$A$58,"categoría","TOTAL","mes",3,"año",2006)</f>
        <v>8.58</v>
      </c>
      <c r="G67" s="342">
        <f>GETPIVOTDATA("Suma de hotel z4",'[1]tabla dinámica EM men'!$A$4,"MES","3","AÑO",2006)</f>
        <v>8.0930296274409734</v>
      </c>
      <c r="H67" s="342">
        <f>GETPIVOTDATA("Suma de extra-h z4",'[1]tabla dinámica EM men'!$A$4,"MES","3","AÑO",2006)</f>
        <v>8.8645960787952234</v>
      </c>
      <c r="I67" s="342">
        <f>GETPIVOTDATA("Suma de TOTAL z4",'[1]tabla dinámica EM men'!$A$4,"MES","3","AÑO",2006)</f>
        <v>8.4640761645547027</v>
      </c>
      <c r="J67" s="342">
        <f>GETPIVOTDATA("Suma de TOTAL HOTELERO",'[1]tabla dinámica EM men'!$A$4,"MES","3","AÑO",2006)</f>
        <v>7.6643628247829731</v>
      </c>
      <c r="K67" s="342">
        <f>GETPIVOTDATA("Suma de extrahoteleros",'[1]tabla dinámica EM men'!$A$4,"MES","3","AÑO",2006)</f>
        <v>8.974658575808073</v>
      </c>
      <c r="L67" s="342">
        <f>GETPIVOTDATA("Suma de TOTAL general",'[1]tabla dinámica EM men'!$A$4,"MES","3","AÑO",2006)</f>
        <v>8.2385084387826346</v>
      </c>
    </row>
    <row r="68" spans="3:12" hidden="1" outlineLevel="1">
      <c r="C68" s="51" t="s">
        <v>47</v>
      </c>
      <c r="D68" s="342">
        <f>GETPIVOTDATA("dato",'[1]tabla dinámica EM'!$A$58,"categoría","Hoteleros","mes",2,"año",2006)</f>
        <v>8.27</v>
      </c>
      <c r="E68" s="342">
        <f>GETPIVOTDATA("dato",'[1]tabla dinámica EM'!$A$58,"categoría","EXTRAHOTELEROS","mes",2,"año",2006)</f>
        <v>9.59</v>
      </c>
      <c r="F68" s="342">
        <f>GETPIVOTDATA("dato",'[1]tabla dinámica EM'!$A$58,"categoría","TOTAL","mes",2,"año",2006)</f>
        <v>8.7799999999999994</v>
      </c>
      <c r="G68" s="342">
        <f>GETPIVOTDATA("Suma de hotel z4",'[1]tabla dinámica EM men'!$A$4,"MES","2","AÑO",2006)</f>
        <v>8.1975867911122986</v>
      </c>
      <c r="H68" s="342">
        <f>GETPIVOTDATA("Suma de extra-h z4",'[1]tabla dinámica EM men'!$A$4,"MES","2","AÑO",2006)</f>
        <v>9.2766302584622036</v>
      </c>
      <c r="I68" s="342">
        <f>GETPIVOTDATA("Suma de TOTAL z4",'[1]tabla dinámica EM men'!$A$4,"MES","2","AÑO",2006)</f>
        <v>8.7245740595757368</v>
      </c>
      <c r="J68" s="342">
        <f>GETPIVOTDATA("Suma de TOTAL HOTELERO",'[1]tabla dinámica EM men'!$A$4,"MES","2","AÑO",2006)</f>
        <v>7.6784499102820192</v>
      </c>
      <c r="K68" s="342">
        <f>GETPIVOTDATA("Suma de extrahoteleros",'[1]tabla dinámica EM men'!$A$4,"MES","2","AÑO",2006)</f>
        <v>9.4987507891882554</v>
      </c>
      <c r="L68" s="342">
        <f>GETPIVOTDATA("Suma de TOTAL general",'[1]tabla dinámica EM men'!$A$4,"MES","2","AÑO",2006)</f>
        <v>8.4785502344567174</v>
      </c>
    </row>
    <row r="69" spans="3:12" hidden="1" outlineLevel="1">
      <c r="C69" s="51" t="s">
        <v>48</v>
      </c>
      <c r="D69" s="342">
        <f>GETPIVOTDATA("dato",'[1]tabla dinámica EM'!$A$58,"categoría","Hoteleros","mes",1,"año",2006)</f>
        <v>9.06</v>
      </c>
      <c r="E69" s="342">
        <f>GETPIVOTDATA("dato",'[1]tabla dinámica EM'!$A$58,"categoría","EXTRAHOTELEROS","mes",1,"año",2006)</f>
        <v>10.49</v>
      </c>
      <c r="F69" s="342">
        <f>GETPIVOTDATA("dato",'[1]tabla dinámica EM'!$A$58,"categoría","TOTAL","mes",1,"año",2006)</f>
        <v>9.59</v>
      </c>
      <c r="G69" s="342">
        <f>GETPIVOTDATA("Suma de hotel z4",'[1]tabla dinámica EM men'!$A$4,"MES","1","AÑO",2006)</f>
        <v>8.8686465886399919</v>
      </c>
      <c r="H69" s="342">
        <f>GETPIVOTDATA("Suma de extra-h z4",'[1]tabla dinámica EM men'!$A$4,"MES","1","AÑO",2006)</f>
        <v>9.4481899273711107</v>
      </c>
      <c r="I69" s="342">
        <f>GETPIVOTDATA("Suma de TOTAL z4",'[1]tabla dinámica EM men'!$A$4,"MES","1","AÑO",2006)</f>
        <v>9.1492004837817635</v>
      </c>
      <c r="J69" s="342">
        <f>GETPIVOTDATA("Suma de TOTAL HOTELERO",'[1]tabla dinámica EM men'!$A$4,"MES","1","AÑO",2006)</f>
        <v>8.3304498640344296</v>
      </c>
      <c r="K69" s="342">
        <f>GETPIVOTDATA("Suma de extrahoteleros",'[1]tabla dinámica EM men'!$A$4,"MES","1","AÑO",2006)</f>
        <v>9.6557114846087213</v>
      </c>
      <c r="L69" s="342">
        <f>GETPIVOTDATA("Suma de TOTAL general",'[1]tabla dinámica EM men'!$A$4,"MES","1","AÑO",2006)</f>
        <v>8.9218626246721655</v>
      </c>
    </row>
    <row r="70" spans="3:12" collapsed="1">
      <c r="C70" s="58">
        <v>2006</v>
      </c>
      <c r="D70" s="346">
        <f>'[1]tabla dinámica EM'!B334</f>
        <v>8.1833837631524489</v>
      </c>
      <c r="E70" s="346">
        <f>'[1]tabla dinámica EM'!B321</f>
        <v>9.2834166516204757</v>
      </c>
      <c r="F70" s="346">
        <f>'[1]tabla dinámica EM'!B347</f>
        <v>8.5871512085156052</v>
      </c>
      <c r="G70" s="346">
        <f>GETPIVOTDATA("Suma de hotel z4",'[1]tabla dinámica EM men'!$A$262,"MES","12","AÑO",2006)</f>
        <v>8.0043308412748715</v>
      </c>
      <c r="H70" s="346">
        <f>GETPIVOTDATA("Suma de extra-h z4",'[1]tabla dinámica EM men'!$A$262,"MES","12","AÑO",2006)</f>
        <v>9.0340486037802474</v>
      </c>
      <c r="I70" s="346">
        <f>GETPIVOTDATA("Suma de TOTAL z4",'[1]tabla dinámica EM men'!$A$262,"MES","12","AÑO",2006)</f>
        <v>8.4812599935262636</v>
      </c>
      <c r="J70" s="346">
        <f>GETPIVOTDATA("Suma de TOTAL HOTELERO",'[1]tabla dinámica EM men'!$A$262,"MES","12","AÑO",2006)</f>
        <v>7.4390114382072561</v>
      </c>
      <c r="K70" s="346">
        <f>GETPIVOTDATA("Suma de extrahoteleros",'[1]tabla dinámica EM men'!$A$262,"MES","12","AÑO",2006)</f>
        <v>8.8865936288321663</v>
      </c>
      <c r="L70" s="346">
        <f>GETPIVOTDATA("Suma de TOTAL general",'[1]tabla dinámica EM men'!$A$262,"MES","12","AÑO",2006)</f>
        <v>8.0514511706356231</v>
      </c>
    </row>
    <row r="71" spans="3:12" ht="15" customHeight="1">
      <c r="C71" s="136" t="s">
        <v>77</v>
      </c>
      <c r="D71" s="137"/>
      <c r="E71" s="137"/>
      <c r="F71" s="137"/>
      <c r="G71" s="137"/>
      <c r="H71" s="137"/>
      <c r="I71" s="137"/>
      <c r="J71" s="137"/>
      <c r="K71" s="137"/>
      <c r="L71" s="138"/>
    </row>
  </sheetData>
  <mergeCells count="6">
    <mergeCell ref="C3:L3"/>
    <mergeCell ref="C4:C5"/>
    <mergeCell ref="D4:F4"/>
    <mergeCell ref="G4:I4"/>
    <mergeCell ref="J4:L4"/>
    <mergeCell ref="C71:L7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C2:J74"/>
  <sheetViews>
    <sheetView showGridLines="0" showRowColHeaders="0" topLeftCell="C1" zoomScaleNormal="100" workbookViewId="0">
      <selection activeCell="B25" sqref="B25"/>
    </sheetView>
  </sheetViews>
  <sheetFormatPr baseColWidth="10" defaultRowHeight="15" outlineLevelRow="1"/>
  <cols>
    <col min="1" max="1" width="14.28515625" style="121" customWidth="1"/>
    <col min="2" max="8" width="11.42578125" style="121"/>
    <col min="9" max="9" width="14" style="121" customWidth="1"/>
    <col min="10" max="11" width="11.42578125" style="121"/>
    <col min="12" max="12" width="14.28515625" style="121" customWidth="1"/>
    <col min="13" max="16384" width="11.42578125" style="121"/>
  </cols>
  <sheetData>
    <row r="2" spans="3:10" ht="42.75" customHeight="1"/>
    <row r="3" spans="3:10" ht="30" customHeight="1">
      <c r="C3" s="160" t="s">
        <v>277</v>
      </c>
      <c r="D3" s="160"/>
      <c r="E3" s="160"/>
      <c r="F3" s="160"/>
      <c r="G3" s="160"/>
      <c r="H3" s="160"/>
      <c r="I3" s="160"/>
      <c r="J3" s="160"/>
    </row>
    <row r="4" spans="3:10" ht="45" customHeight="1">
      <c r="C4" s="161"/>
      <c r="D4" s="128" t="s">
        <v>260</v>
      </c>
      <c r="E4" s="128" t="s">
        <v>115</v>
      </c>
      <c r="F4" s="128" t="s">
        <v>116</v>
      </c>
      <c r="G4" s="128" t="s">
        <v>117</v>
      </c>
      <c r="H4" s="162" t="s">
        <v>34</v>
      </c>
      <c r="I4" s="162" t="s">
        <v>118</v>
      </c>
      <c r="J4" s="163" t="s">
        <v>36</v>
      </c>
    </row>
    <row r="5" spans="3:10" hidden="1">
      <c r="C5" s="51" t="s">
        <v>37</v>
      </c>
      <c r="D5" s="342">
        <f>GETPIVOTDATA("dato",'[1]tabla dinámica EM'!$A$58,"categoría","1* y 2 *","mes",12,"año",2010)</f>
        <v>0</v>
      </c>
      <c r="E5" s="342">
        <f>GETPIVOTDATA("dato",'[1]tabla dinámica EM'!$A$58,"categoría","3 *","mes",12,"año",2010)</f>
        <v>0</v>
      </c>
      <c r="F5" s="342">
        <f>GETPIVOTDATA("dato",'[1]tabla dinámica EM'!$A$58,"categoría","4 *","mes",12,"año",2010)</f>
        <v>0</v>
      </c>
      <c r="G5" s="342">
        <f>GETPIVOTDATA("dato",'[1]tabla dinámica EM'!$A$58,"categoría","5 *","mes",12,"año",2010)</f>
        <v>0</v>
      </c>
      <c r="H5" s="342">
        <f>GETPIVOTDATA("dato",'[1]tabla dinámica EM'!$A$58,"categoría","HOTELEROS","mes",12,"año",2010)</f>
        <v>0</v>
      </c>
      <c r="I5" s="342">
        <f>GETPIVOTDATA("dato",'[1]tabla dinámica EM'!$A$58,"categoría","EXTRAHOTELEROS","mes",12,"año",2010)</f>
        <v>0</v>
      </c>
      <c r="J5" s="342">
        <f>GETPIVOTDATA("dato",'[1]tabla dinámica EM'!$A$58,"categoría","TOTAL","mes",12,"año",2010)</f>
        <v>0</v>
      </c>
    </row>
    <row r="6" spans="3:10" hidden="1">
      <c r="C6" s="51" t="s">
        <v>38</v>
      </c>
      <c r="D6" s="342">
        <f>GETPIVOTDATA("dato",'[1]tabla dinámica EM'!$A$58,"categoría","1* y 2 *","mes",11,"año",2010)</f>
        <v>0</v>
      </c>
      <c r="E6" s="342">
        <f>GETPIVOTDATA("dato",'[1]tabla dinámica EM'!$A$58,"categoría","3 *","mes",11,"año",2010)</f>
        <v>0</v>
      </c>
      <c r="F6" s="342">
        <f>GETPIVOTDATA("dato",'[1]tabla dinámica EM'!$A$58,"categoría","4 *","mes",11,"año",2010)</f>
        <v>0</v>
      </c>
      <c r="G6" s="342">
        <f>GETPIVOTDATA("dato",'[1]tabla dinámica EM'!$A$58,"categoría","5 *","mes",11,"año",2010)</f>
        <v>0</v>
      </c>
      <c r="H6" s="342">
        <f>GETPIVOTDATA("dato",'[1]tabla dinámica EM'!$A$58,"categoría","HOTELEROS","mes",11,"año",2010)</f>
        <v>0</v>
      </c>
      <c r="I6" s="342">
        <f>GETPIVOTDATA("dato",'[1]tabla dinámica EM'!$A$58,"categoría","EXTRAHOTELEROS","mes",11,"año",2010)</f>
        <v>0</v>
      </c>
      <c r="J6" s="342">
        <f>GETPIVOTDATA("dato",'[1]tabla dinámica EM'!$A$58,"categoría","TOTAL","mes",11,"año",2010)</f>
        <v>0</v>
      </c>
    </row>
    <row r="7" spans="3:10" hidden="1">
      <c r="C7" s="51" t="s">
        <v>39</v>
      </c>
      <c r="D7" s="342">
        <f>GETPIVOTDATA("dato",'[1]tabla dinámica EM'!$A$58,"categoría","1* y 2 *","mes",10,"año",2010)</f>
        <v>0</v>
      </c>
      <c r="E7" s="342">
        <f>GETPIVOTDATA("dato",'[1]tabla dinámica EM'!$A$58,"categoría","3 *","mes",10,"año",2010)</f>
        <v>0</v>
      </c>
      <c r="F7" s="342">
        <f>GETPIVOTDATA("dato",'[1]tabla dinámica EM'!$A$58,"categoría","4 *","mes",10,"año",2010)</f>
        <v>0</v>
      </c>
      <c r="G7" s="342">
        <f>GETPIVOTDATA("dato",'[1]tabla dinámica EM'!$A$58,"categoría","5 *","mes",10,"año",2010)</f>
        <v>0</v>
      </c>
      <c r="H7" s="342">
        <f>GETPIVOTDATA("dato",'[1]tabla dinámica EM'!$A$58,"categoría","HOTELEROS","mes",10,"año",2010)</f>
        <v>0</v>
      </c>
      <c r="I7" s="342">
        <f>GETPIVOTDATA("dato",'[1]tabla dinámica EM'!$A$58,"categoría","EXTRAHOTELEROS","mes",10,"año",2010)</f>
        <v>0</v>
      </c>
      <c r="J7" s="342">
        <f>GETPIVOTDATA("dato",'[1]tabla dinámica EM'!$A$58,"categoría","TOTAL","mes",10,"año",2010)</f>
        <v>0</v>
      </c>
    </row>
    <row r="8" spans="3:10" hidden="1">
      <c r="C8" s="51" t="s">
        <v>40</v>
      </c>
      <c r="D8" s="342">
        <f>GETPIVOTDATA("dato",'[1]tabla dinámica EM'!$A$58,"categoría","1* y 2 *","mes",9,"año",2010)</f>
        <v>0</v>
      </c>
      <c r="E8" s="342">
        <f>GETPIVOTDATA("dato",'[1]tabla dinámica EM'!$A$58,"categoría","3 *","mes",9,"año",2010)</f>
        <v>0</v>
      </c>
      <c r="F8" s="342">
        <f>GETPIVOTDATA("dato",'[1]tabla dinámica EM'!$A$58,"categoría","4 *","mes",9,"año",2010)</f>
        <v>0</v>
      </c>
      <c r="G8" s="342">
        <f>GETPIVOTDATA("dato",'[1]tabla dinámica EM'!$A$58,"categoría","5 *","mes",9,"año",2010)</f>
        <v>0</v>
      </c>
      <c r="H8" s="342">
        <f>GETPIVOTDATA("dato",'[1]tabla dinámica EM'!$A$58,"categoría","HOTELEROS","mes",9,"año",2010)</f>
        <v>0</v>
      </c>
      <c r="I8" s="342">
        <f>GETPIVOTDATA("dato",'[1]tabla dinámica EM'!$A$58,"categoría","EXTRAHOTELEROS","mes",9,"año",2010)</f>
        <v>0</v>
      </c>
      <c r="J8" s="342">
        <f>GETPIVOTDATA("dato",'[1]tabla dinámica EM'!$A$58,"categoría","TOTAL","mes",9,"año",2010)</f>
        <v>0</v>
      </c>
    </row>
    <row r="9" spans="3:10" hidden="1">
      <c r="C9" s="51" t="s">
        <v>41</v>
      </c>
      <c r="D9" s="342">
        <f>GETPIVOTDATA("dato",'[1]tabla dinámica EM'!$A$58,"categoría","1* y 2 *","mes",8,"año",2010)</f>
        <v>0</v>
      </c>
      <c r="E9" s="342">
        <f>GETPIVOTDATA("dato",'[1]tabla dinámica EM'!$A$58,"categoría","3 *","mes",8,"año",2010)</f>
        <v>0</v>
      </c>
      <c r="F9" s="342">
        <f>GETPIVOTDATA("dato",'[1]tabla dinámica EM'!$A$58,"categoría","4 *","mes",8,"año",2010)</f>
        <v>0</v>
      </c>
      <c r="G9" s="342">
        <f>GETPIVOTDATA("dato",'[1]tabla dinámica EM'!$A$58,"categoría","5 *","mes",8,"año",2010)</f>
        <v>0</v>
      </c>
      <c r="H9" s="342">
        <f>GETPIVOTDATA("dato",'[1]tabla dinámica EM'!$A$58,"categoría","HOTELEROS","mes",8,"año",2010)</f>
        <v>0</v>
      </c>
      <c r="I9" s="342">
        <f>GETPIVOTDATA("dato",'[1]tabla dinámica EM'!$A$58,"categoría","EXTRAHOTELEROS","mes",8,"año",2010)</f>
        <v>0</v>
      </c>
      <c r="J9" s="342">
        <f>GETPIVOTDATA("dato",'[1]tabla dinámica EM'!$A$58,"categoría","TOTAL","mes",8,"año",2010)</f>
        <v>0</v>
      </c>
    </row>
    <row r="10" spans="3:10">
      <c r="C10" s="51" t="s">
        <v>42</v>
      </c>
      <c r="D10" s="342">
        <f>GETPIVOTDATA("dato",'[1]tabla dinámica EM'!$A$58,"categoría","1* y 2 *","mes",7,"año",2010)</f>
        <v>6.1845542305508232</v>
      </c>
      <c r="E10" s="342">
        <f>GETPIVOTDATA("dato",'[1]tabla dinámica EM'!$A$58,"categoría","3 *","mes",7,"año",2010)</f>
        <v>8.0059374126851068</v>
      </c>
      <c r="F10" s="342">
        <f>GETPIVOTDATA("dato",'[1]tabla dinámica EM'!$A$58,"categoría","4 *","mes",7,"año",2010)</f>
        <v>8.1398427296473663</v>
      </c>
      <c r="G10" s="342">
        <f>GETPIVOTDATA("dato",'[1]tabla dinámica EM'!$A$58,"categoría","5 *","mes",7,"año",2010)</f>
        <v>7.1992801919488141</v>
      </c>
      <c r="H10" s="342">
        <f>GETPIVOTDATA("dato",'[1]tabla dinámica EM'!$A$58,"categoría","HOTELEROS","mes",7,"año",2010)</f>
        <v>7.9536549218339152</v>
      </c>
      <c r="I10" s="342">
        <f>GETPIVOTDATA("dato",'[1]tabla dinámica EM'!$A$58,"categoría","EXTRAHOTELEROS","mes",7,"año",2010)</f>
        <v>8.0718878644575245</v>
      </c>
      <c r="J10" s="342">
        <f>GETPIVOTDATA("dato",'[1]tabla dinámica EM'!$A$58,"categoría","TOTAL","mes",7,"año",2010)</f>
        <v>7.9961988357786877</v>
      </c>
    </row>
    <row r="11" spans="3:10">
      <c r="C11" s="51" t="s">
        <v>43</v>
      </c>
      <c r="D11" s="342">
        <f>GETPIVOTDATA("dato",'[1]tabla dinámica EM'!$A$58,"categoría","1* y 2 *","mes",6,"año",2010)</f>
        <v>6.729905865314989</v>
      </c>
      <c r="E11" s="342">
        <f>GETPIVOTDATA("dato",'[1]tabla dinámica EM'!$A$58,"categoría","3 *","mes",6,"año",2010)</f>
        <v>7.3845167494790829</v>
      </c>
      <c r="F11" s="342">
        <f>GETPIVOTDATA("dato",'[1]tabla dinámica EM'!$A$58,"categoría","4 *","mes",6,"año",2010)</f>
        <v>7.5331850446501587</v>
      </c>
      <c r="G11" s="342">
        <f>GETPIVOTDATA("dato",'[1]tabla dinámica EM'!$A$58,"categoría","5 *","mes",6,"año",2010)</f>
        <v>7.5174413417789276</v>
      </c>
      <c r="H11" s="342">
        <f>GETPIVOTDATA("dato",'[1]tabla dinámica EM'!$A$58,"categoría","HOTELEROS","mes",6,"año",2010)</f>
        <v>7.4967521169237905</v>
      </c>
      <c r="I11" s="342">
        <f>GETPIVOTDATA("dato",'[1]tabla dinámica EM'!$A$58,"categoría","EXTRAHOTELEROS","mes",6,"año",2010)</f>
        <v>8.2073230725982143</v>
      </c>
      <c r="J11" s="342">
        <f>GETPIVOTDATA("dato",'[1]tabla dinámica EM'!$A$58,"categoría","TOTAL","mes",6,"año",2010)</f>
        <v>7.7320728954126166</v>
      </c>
    </row>
    <row r="12" spans="3:10">
      <c r="C12" s="51" t="s">
        <v>44</v>
      </c>
      <c r="D12" s="342">
        <f>GETPIVOTDATA("dato",'[1]tabla dinámica EM'!$A$58,"categoría","1* y 2 *","mes",5,"año",2010)</f>
        <v>6.4060795011691347</v>
      </c>
      <c r="E12" s="342">
        <f>GETPIVOTDATA("dato",'[1]tabla dinámica EM'!$A$58,"categoría","3 *","mes",5,"año",2010)</f>
        <v>7.5810306198655715</v>
      </c>
      <c r="F12" s="342">
        <f>GETPIVOTDATA("dato",'[1]tabla dinámica EM'!$A$58,"categoría","4 *","mes",5,"año",2010)</f>
        <v>6.8269504681123472</v>
      </c>
      <c r="G12" s="342">
        <f>GETPIVOTDATA("dato",'[1]tabla dinámica EM'!$A$58,"categoría","5 *","mes",5,"año",2010)</f>
        <v>6.0672417450328782</v>
      </c>
      <c r="H12" s="342">
        <f>GETPIVOTDATA("dato",'[1]tabla dinámica EM'!$A$58,"categoría","HOTELEROS","mes",5,"año",2010)</f>
        <v>6.8250323834196891</v>
      </c>
      <c r="I12" s="342">
        <f>GETPIVOTDATA("dato",'[1]tabla dinámica EM'!$A$58,"categoría","EXTRAHOTELEROS","mes",5,"año",2010)</f>
        <v>8.0312695905112967</v>
      </c>
      <c r="J12" s="342">
        <f>GETPIVOTDATA("dato",'[1]tabla dinámica EM'!$A$58,"categoría","TOTAL","mes",5,"año",2010)</f>
        <v>7.188025867988741</v>
      </c>
    </row>
    <row r="13" spans="3:10">
      <c r="C13" s="51" t="s">
        <v>45</v>
      </c>
      <c r="D13" s="342">
        <f>GETPIVOTDATA("dato",'[1]tabla dinámica EM'!$A$58,"categoría","1* y 2 *","mes",4,"año",2010)</f>
        <v>5.7893258426966296</v>
      </c>
      <c r="E13" s="342">
        <f>GETPIVOTDATA("dato",'[1]tabla dinámica EM'!$A$58,"categoría","3 *","mes",4,"año",2010)</f>
        <v>6.897174052665382</v>
      </c>
      <c r="F13" s="342">
        <f>GETPIVOTDATA("dato",'[1]tabla dinámica EM'!$A$58,"categoría","4 *","mes",4,"año",2010)</f>
        <v>6.5995048881802543</v>
      </c>
      <c r="G13" s="342">
        <f>GETPIVOTDATA("dato",'[1]tabla dinámica EM'!$A$58,"categoría","5 *","mes",4,"año",2010)</f>
        <v>6.6168659621802002</v>
      </c>
      <c r="H13" s="342">
        <f>GETPIVOTDATA("dato",'[1]tabla dinámica EM'!$A$58,"categoría","HOTELEROS","mes",4,"año",2010)</f>
        <v>6.6357689279430776</v>
      </c>
      <c r="I13" s="342">
        <f>GETPIVOTDATA("dato",'[1]tabla dinámica EM'!$A$58,"categoría","EXTRAHOTELEROS","mes",4,"año",2010)</f>
        <v>7.0460416123869427</v>
      </c>
      <c r="J13" s="342">
        <f>GETPIVOTDATA("dato",'[1]tabla dinámica EM'!$A$58,"categoría","TOTAL","mes",4,"año",2010)</f>
        <v>6.7765354923983629</v>
      </c>
    </row>
    <row r="14" spans="3:10">
      <c r="C14" s="51" t="s">
        <v>46</v>
      </c>
      <c r="D14" s="342">
        <f>GETPIVOTDATA("dato",'[1]tabla dinámica EM'!$A$58,"categoría","1* y 2 *","mes",3,"año",2010)</f>
        <v>8.5908385093167698</v>
      </c>
      <c r="E14" s="342">
        <f>GETPIVOTDATA("dato",'[1]tabla dinámica EM'!$A$58,"categoría","3 *","mes",3,"año",2010)</f>
        <v>8.4038240659414907</v>
      </c>
      <c r="F14" s="342">
        <f>GETPIVOTDATA("dato",'[1]tabla dinámica EM'!$A$58,"categoría","4 *","mes",3,"año",2010)</f>
        <v>7.7064067316504206</v>
      </c>
      <c r="G14" s="342">
        <f>GETPIVOTDATA("dato",'[1]tabla dinámica EM'!$A$58,"categoría","5 *","mes",3,"año",2010)</f>
        <v>6.805885603757944</v>
      </c>
      <c r="H14" s="342">
        <f>GETPIVOTDATA("dato",'[1]tabla dinámica EM'!$A$58,"categoría","HOTELEROS","mes",3,"año",2010)</f>
        <v>7.6890262751159195</v>
      </c>
      <c r="I14" s="342">
        <f>GETPIVOTDATA("dato",'[1]tabla dinámica EM'!$A$58,"categoría","EXTRAHOTELEROS","mes",3,"año",2010)</f>
        <v>8.8797965788257045</v>
      </c>
      <c r="J14" s="342">
        <f>GETPIVOTDATA("dato",'[1]tabla dinámica EM'!$A$58,"categoría","TOTAL","mes",3,"año",2010)</f>
        <v>8.1111744543180677</v>
      </c>
    </row>
    <row r="15" spans="3:10">
      <c r="C15" s="51" t="s">
        <v>47</v>
      </c>
      <c r="D15" s="342">
        <f>GETPIVOTDATA("dato",'[1]tabla dinámica EM'!$A$58,"categoría","1* y 2 *","mes",2,"año",2010)</f>
        <v>8.8305220883534137</v>
      </c>
      <c r="E15" s="342">
        <f>GETPIVOTDATA("dato",'[1]tabla dinámica EM'!$A$58,"categoría","3 *","mes",2,"año",2010)</f>
        <v>8.9600000000000009</v>
      </c>
      <c r="F15" s="342">
        <f>GETPIVOTDATA("dato",'[1]tabla dinámica EM'!$A$58,"categoría","4 *","mes",2,"año",2010)</f>
        <v>8.01</v>
      </c>
      <c r="G15" s="342">
        <f>GETPIVOTDATA("dato",'[1]tabla dinámica EM'!$A$58,"categoría","5 *","mes",2,"año",2010)</f>
        <v>6.82</v>
      </c>
      <c r="H15" s="342">
        <f>GETPIVOTDATA("dato",'[1]tabla dinámica EM'!$A$58,"categoría","HOTELEROS","mes",2,"año",2010)</f>
        <v>8</v>
      </c>
      <c r="I15" s="342">
        <f>GETPIVOTDATA("dato",'[1]tabla dinámica EM'!$A$58,"categoría","EXTRAHOTELEROS","mes",2,"año",2010)</f>
        <v>9.7899999999999991</v>
      </c>
      <c r="J15" s="342">
        <f>GETPIVOTDATA("dato",'[1]tabla dinámica EM'!$A$58,"categoría","TOTAL","mes",2,"año",2010)</f>
        <v>8.6199999999999992</v>
      </c>
    </row>
    <row r="16" spans="3:10">
      <c r="C16" s="51" t="s">
        <v>48</v>
      </c>
      <c r="D16" s="342">
        <f>GETPIVOTDATA("dato",'[1]tabla dinámica EM'!$A$58,"categoría","1* y 2 *","mes",1,"año",2010)</f>
        <v>7.0325670498084287</v>
      </c>
      <c r="E16" s="342">
        <f>GETPIVOTDATA("dato",'[1]tabla dinámica EM'!$A$58,"categoría","3 *","mes",1,"año",2010)</f>
        <v>9.1999999999999993</v>
      </c>
      <c r="F16" s="342">
        <f>GETPIVOTDATA("dato",'[1]tabla dinámica EM'!$A$58,"categoría","4 *","mes",1,"año",2010)</f>
        <v>8.57</v>
      </c>
      <c r="G16" s="342">
        <f>GETPIVOTDATA("dato",'[1]tabla dinámica EM'!$A$58,"categoría","5 *","mes",1,"año",2010)</f>
        <v>6.84</v>
      </c>
      <c r="H16" s="342">
        <f>GETPIVOTDATA("dato",'[1]tabla dinámica EM'!$A$58,"categoría","HOTELEROS","mes",1,"año",2010)</f>
        <v>8.42</v>
      </c>
      <c r="I16" s="342">
        <f>GETPIVOTDATA("dato",'[1]tabla dinámica EM'!$A$58,"categoría","EXTRAHOTELEROS","mes",1,"año",2010)</f>
        <v>9.61</v>
      </c>
      <c r="J16" s="342">
        <f>GETPIVOTDATA("dato",'[1]tabla dinámica EM'!$A$58,"categoría","TOTAL","mes",1,"año",2010)</f>
        <v>8.84</v>
      </c>
    </row>
    <row r="17" spans="3:10" ht="30">
      <c r="C17" s="69" t="s">
        <v>54</v>
      </c>
      <c r="D17" s="389">
        <f>'[1]tabla dinámica municipios'!$M$298</f>
        <v>7.0084439083232812</v>
      </c>
      <c r="E17" s="389">
        <f>'[1]tabla dinámica municipios'!$O$298</f>
        <v>8.0533512306043331</v>
      </c>
      <c r="F17" s="389">
        <f>'[1]tabla dinámica municipios'!$P$298</f>
        <v>7.6012954952098388</v>
      </c>
      <c r="G17" s="389">
        <f>'[1]tabla dinámica municipios'!$R$298</f>
        <v>6.8197293570074127</v>
      </c>
      <c r="H17" s="389">
        <f>'[1]tabla dinámica municipios'!$T$298</f>
        <v>7.5495798162773262</v>
      </c>
      <c r="I17" s="389">
        <f>'[1]tabla dinámica municipios'!$S$298</f>
        <v>8.4760431611669063</v>
      </c>
      <c r="J17" s="389">
        <f>'[1]tabla dinámica municipios'!$U$298</f>
        <v>7.8662886756998951</v>
      </c>
    </row>
    <row r="18" spans="3:10" hidden="1" outlineLevel="1">
      <c r="C18" s="51" t="s">
        <v>37</v>
      </c>
      <c r="D18" s="342">
        <f>GETPIVOTDATA("dato",'[1]tabla dinámica EM'!$A$58,"categoría","1* y 2 *","mes",12,"año",2009)</f>
        <v>7.7690631808278869</v>
      </c>
      <c r="E18" s="342">
        <f>GETPIVOTDATA("dato",'[1]tabla dinámica EM'!$A$58,"categoría","3 *","mes",12,"año",2009)</f>
        <v>8.7933595456531233</v>
      </c>
      <c r="F18" s="342">
        <f>GETPIVOTDATA("dato",'[1]tabla dinámica EM'!$A$58,"categoría","4 *","mes",12,"año",2009)</f>
        <v>8.0517777129221102</v>
      </c>
      <c r="G18" s="342">
        <f>GETPIVOTDATA("dato",'[1]tabla dinámica EM'!$A$58,"categoría","5 *","mes",12,"año",2009)</f>
        <v>6.8191289496157133</v>
      </c>
      <c r="H18" s="342">
        <f>GETPIVOTDATA("dato",'[1]tabla dinámica EM'!$A$58,"categoría","HOTELEROS","mes",12,"año",2009)</f>
        <v>7.9972493240860469</v>
      </c>
      <c r="I18" s="342">
        <f>GETPIVOTDATA("dato",'[1]tabla dinámica EM'!$A$58,"categoría","EXTRAHOTELEROS","mes",12,"año",2009)</f>
        <v>9.2303682743654658</v>
      </c>
      <c r="J18" s="342">
        <f>GETPIVOTDATA("dato",'[1]tabla dinámica EM'!$A$58,"categoría","TOTAL","mes",12,"año",2009)</f>
        <v>8.4360997327235694</v>
      </c>
    </row>
    <row r="19" spans="3:10" hidden="1" outlineLevel="1">
      <c r="C19" s="51" t="s">
        <v>38</v>
      </c>
      <c r="D19" s="342">
        <f>GETPIVOTDATA("dato",'[1]tabla dinámica EM'!$A$58,"categoría","1* y 2 *","mes",11,"año",2009)</f>
        <v>8.1043549712407561</v>
      </c>
      <c r="E19" s="342">
        <f>GETPIVOTDATA("dato",'[1]tabla dinámica EM'!$A$58,"categoría","3 *","mes",11,"año",2009)</f>
        <v>8.5425560298826042</v>
      </c>
      <c r="F19" s="342">
        <f>GETPIVOTDATA("dato",'[1]tabla dinámica EM'!$A$58,"categoría","4 *","mes",11,"año",2009)</f>
        <v>8.1077526816080923</v>
      </c>
      <c r="G19" s="342">
        <f>GETPIVOTDATA("dato",'[1]tabla dinámica EM'!$A$58,"categoría","5 *","mes",11,"año",2009)</f>
        <v>8.9561762984026085</v>
      </c>
      <c r="H19" s="342">
        <f>GETPIVOTDATA("dato",'[1]tabla dinámica EM'!$A$58,"categoría","HOTELEROS","mes",11,"año",2009)</f>
        <v>8.3025929521292152</v>
      </c>
      <c r="I19" s="342">
        <f>GETPIVOTDATA("dato",'[1]tabla dinámica EM'!$A$58,"categoría","EXTRAHOTELEROS","mes",11,"año",2009)</f>
        <v>9.4885697925384314</v>
      </c>
      <c r="J19" s="342">
        <f>GETPIVOTDATA("dato",'[1]tabla dinámica EM'!$A$58,"categoría","TOTAL","mes",11,"año",2009)</f>
        <v>8.7139572368169773</v>
      </c>
    </row>
    <row r="20" spans="3:10" hidden="1" outlineLevel="1">
      <c r="C20" s="51" t="s">
        <v>39</v>
      </c>
      <c r="D20" s="342">
        <f>GETPIVOTDATA("dato",'[1]tabla dinámica EM'!$A$58,"categoría","1* y 2 *","mes",10,"año",2009)</f>
        <v>6.7142857142857144</v>
      </c>
      <c r="E20" s="342">
        <f>GETPIVOTDATA("dato",'[1]tabla dinámica EM'!$A$58,"categoría","3 *","mes",10,"año",2009)</f>
        <v>7.9104573073233126</v>
      </c>
      <c r="F20" s="342">
        <f>GETPIVOTDATA("dato",'[1]tabla dinámica EM'!$A$58,"categoría","4 *","mes",10,"año",2009)</f>
        <v>7.3968956208758252</v>
      </c>
      <c r="G20" s="342">
        <f>GETPIVOTDATA("dato",'[1]tabla dinámica EM'!$A$58,"categoría","5 *","mes",10,"año",2009)</f>
        <v>7.2253002283946071</v>
      </c>
      <c r="H20" s="342">
        <f>GETPIVOTDATA("dato",'[1]tabla dinámica EM'!$A$58,"categoría","HOTELEROS","mes",10,"año",2009)</f>
        <v>7.431350649903206</v>
      </c>
      <c r="I20" s="342">
        <f>GETPIVOTDATA("dato",'[1]tabla dinámica EM'!$A$58,"categoría","EXTRAHOTELEROS","mes",10,"año",2009)</f>
        <v>7.7858367092552196</v>
      </c>
      <c r="J20" s="342">
        <f>GETPIVOTDATA("dato",'[1]tabla dinámica EM'!$A$58,"categoría","TOTAL","mes",10,"año",2009)</f>
        <v>7.5565637942184125</v>
      </c>
    </row>
    <row r="21" spans="3:10" hidden="1" outlineLevel="1">
      <c r="C21" s="51" t="s">
        <v>40</v>
      </c>
      <c r="D21" s="342">
        <f>GETPIVOTDATA("dato",'[1]tabla dinámica EM'!$A$58,"categoría","1* y 2 *","mes",9,"año",2009)</f>
        <v>6.8771251931993822</v>
      </c>
      <c r="E21" s="342">
        <f>GETPIVOTDATA("dato",'[1]tabla dinámica EM'!$A$58,"categoría","3 *","mes",9,"año",2009)</f>
        <v>8.9600000000000009</v>
      </c>
      <c r="F21" s="342">
        <f>GETPIVOTDATA("dato",'[1]tabla dinámica EM'!$A$58,"categoría","4 *","mes",9,"año",2009)</f>
        <v>8.19</v>
      </c>
      <c r="G21" s="342">
        <f>GETPIVOTDATA("dato",'[1]tabla dinámica EM'!$A$58,"categoría","5 *","mes",9,"año",2009)</f>
        <v>8.68</v>
      </c>
      <c r="H21" s="342">
        <f>GETPIVOTDATA("dato",'[1]tabla dinámica EM'!$A$58,"categoría","HOTELEROS","mes",9,"año",2009)</f>
        <v>8.33</v>
      </c>
      <c r="I21" s="342">
        <f>GETPIVOTDATA("dato",'[1]tabla dinámica EM'!$A$58,"categoría","EXTRAHOTELEROS","mes",9,"año",2009)</f>
        <v>8.76</v>
      </c>
      <c r="J21" s="342">
        <f>GETPIVOTDATA("dato",'[1]tabla dinámica EM'!$A$58,"categoría","TOTAL","mes",9,"año",2009)</f>
        <v>8.49</v>
      </c>
    </row>
    <row r="22" spans="3:10" hidden="1" outlineLevel="1">
      <c r="C22" s="51" t="s">
        <v>41</v>
      </c>
      <c r="D22" s="342">
        <f>GETPIVOTDATA("dato",'[1]tabla dinámica EM'!$A$58,"categoría","1* y 2 *","mes",8,"año",2009)</f>
        <v>7.4554597701149428</v>
      </c>
      <c r="E22" s="342">
        <f>GETPIVOTDATA("dato",'[1]tabla dinámica EM'!$A$58,"categoría","3 *","mes",8,"año",2009)</f>
        <v>9.1</v>
      </c>
      <c r="F22" s="342">
        <f>GETPIVOTDATA("dato",'[1]tabla dinámica EM'!$A$58,"categoría","4 *","mes",8,"año",2009)</f>
        <v>8.0500000000000007</v>
      </c>
      <c r="G22" s="342">
        <f>GETPIVOTDATA("dato",'[1]tabla dinámica EM'!$A$58,"categoría","5 *","mes",8,"año",2009)</f>
        <v>7.24</v>
      </c>
      <c r="H22" s="342">
        <f>GETPIVOTDATA("dato",'[1]tabla dinámica EM'!$A$58,"categoría","HOTELEROS","mes",8,"año",2009)</f>
        <v>8.09</v>
      </c>
      <c r="I22" s="342">
        <f>GETPIVOTDATA("dato",'[1]tabla dinámica EM'!$A$58,"categoría","EXTRAHOTELEROS","mes",8,"año",2009)</f>
        <v>8.39</v>
      </c>
      <c r="J22" s="342">
        <f>GETPIVOTDATA("dato",'[1]tabla dinámica EM'!$A$58,"categoría","TOTAL","mes",8,"año",2009)</f>
        <v>8.1999999999999993</v>
      </c>
    </row>
    <row r="23" spans="3:10" hidden="1" outlineLevel="1">
      <c r="C23" s="51" t="s">
        <v>42</v>
      </c>
      <c r="D23" s="342">
        <f>GETPIVOTDATA("dato",'[1]tabla dinámica EM'!$A$58,"categoría","1* y 2 *","mes",7,"año",2009)</f>
        <v>6.4488530688158709</v>
      </c>
      <c r="E23" s="342">
        <f>GETPIVOTDATA("dato",'[1]tabla dinámica EM'!$A$58,"categoría","3 *","mes",7,"año",2009)</f>
        <v>8.7799999999999994</v>
      </c>
      <c r="F23" s="342">
        <f>GETPIVOTDATA("dato",'[1]tabla dinámica EM'!$A$58,"categoría","4 *","mes",7,"año",2009)</f>
        <v>8.0299999999999994</v>
      </c>
      <c r="G23" s="342">
        <f>GETPIVOTDATA("dato",'[1]tabla dinámica EM'!$A$58,"categoría","5 *","mes",7,"año",2009)</f>
        <v>6.97</v>
      </c>
      <c r="H23" s="342">
        <f>GETPIVOTDATA("dato",'[1]tabla dinámica EM'!$A$58,"categoría","HOTELEROS","mes",7,"año",2009)</f>
        <v>7.98</v>
      </c>
      <c r="I23" s="342">
        <f>GETPIVOTDATA("dato",'[1]tabla dinámica EM'!$A$58,"categoría","EXTRAHOTELEROS","mes",7,"año",2009)</f>
        <v>8.2200000000000006</v>
      </c>
      <c r="J23" s="342">
        <f>GETPIVOTDATA("dato",'[1]tabla dinámica EM'!$A$58,"categoría","TOTAL","mes",7,"año",2009)</f>
        <v>8.07</v>
      </c>
    </row>
    <row r="24" spans="3:10" hidden="1" outlineLevel="1">
      <c r="C24" s="51" t="s">
        <v>43</v>
      </c>
      <c r="D24" s="342">
        <f>GETPIVOTDATA("dato",'[1]tabla dinámica EM'!$A$58,"categoría","1* y 2 *","mes",6,"año",2009)</f>
        <v>6.9351687388987564</v>
      </c>
      <c r="E24" s="342">
        <f>GETPIVOTDATA("dato",'[1]tabla dinámica EM'!$A$58,"categoría","3 *","mes",6,"año",2009)</f>
        <v>8.8566765793863791</v>
      </c>
      <c r="F24" s="342">
        <f>GETPIVOTDATA("dato",'[1]tabla dinámica EM'!$A$58,"categoría","4 *","mes",6,"año",2009)</f>
        <v>7.6023905556476414</v>
      </c>
      <c r="G24" s="342">
        <f>GETPIVOTDATA("dato",'[1]tabla dinámica EM'!$A$58,"categoría","5 *","mes",6,"año",2009)</f>
        <v>6.8830887885628291</v>
      </c>
      <c r="H24" s="342">
        <f>GETPIVOTDATA("dato",'[1]tabla dinámica EM'!$A$58,"categoría","HOTELEROS","mes",6,"año",2009)</f>
        <v>7.7137847248315419</v>
      </c>
      <c r="I24" s="342">
        <f>GETPIVOTDATA("dato",'[1]tabla dinámica EM'!$A$58,"categoría","EXTRAHOTELEROS","mes",6,"año",2009)</f>
        <v>8.5042484053436027</v>
      </c>
      <c r="J24" s="342">
        <f>GETPIVOTDATA("dato",'[1]tabla dinámica EM'!$A$58,"categoría","TOTAL","mes",6,"año",2009)</f>
        <v>7.9843228681819305</v>
      </c>
    </row>
    <row r="25" spans="3:10" hidden="1" outlineLevel="1">
      <c r="C25" s="51" t="s">
        <v>44</v>
      </c>
      <c r="D25" s="342">
        <f>GETPIVOTDATA("dato",'[1]tabla dinámica EM'!$A$58,"categoría","1* y 2 *","mes",5,"año",2009)</f>
        <v>6.6475155279503104</v>
      </c>
      <c r="E25" s="342">
        <f>GETPIVOTDATA("dato",'[1]tabla dinámica EM'!$A$58,"categoría","3 *","mes",5,"año",2009)</f>
        <v>8.2200000000000006</v>
      </c>
      <c r="F25" s="342">
        <f>GETPIVOTDATA("dato",'[1]tabla dinámica EM'!$A$58,"categoría","4 *","mes",5,"año",2009)</f>
        <v>6.67</v>
      </c>
      <c r="G25" s="342">
        <f>GETPIVOTDATA("dato",'[1]tabla dinámica EM'!$A$58,"categoría","5 *","mes",5,"año",2009)</f>
        <v>6.81</v>
      </c>
      <c r="H25" s="342">
        <f>GETPIVOTDATA("dato",'[1]tabla dinámica EM'!$A$58,"categoría","HOTELEROS","mes",5,"año",2009)</f>
        <v>6.93</v>
      </c>
      <c r="I25" s="342">
        <f>GETPIVOTDATA("dato",'[1]tabla dinámica EM'!$A$58,"categoría","EXTRAHOTELEROS","mes",5,"año",2009)</f>
        <v>8.02</v>
      </c>
      <c r="J25" s="342">
        <f>GETPIVOTDATA("dato",'[1]tabla dinámica EM'!$A$58,"categoría","TOTAL","mes",5,"año",2009)</f>
        <v>7.28</v>
      </c>
    </row>
    <row r="26" spans="3:10" hidden="1" outlineLevel="1">
      <c r="C26" s="51" t="s">
        <v>45</v>
      </c>
      <c r="D26" s="342">
        <f>GETPIVOTDATA("dato",'[1]tabla dinámica EM'!$A$58,"categoría","1* y 2 *","mes",4,"año",2009)</f>
        <v>6.9624447717231224</v>
      </c>
      <c r="E26" s="342">
        <f>GETPIVOTDATA("dato",'[1]tabla dinámica EM'!$A$58,"categoría","3 *","mes",4,"año",2009)</f>
        <v>7.789780752932506</v>
      </c>
      <c r="F26" s="342">
        <f>GETPIVOTDATA("dato",'[1]tabla dinámica EM'!$A$58,"categoría","4 *","mes",4,"año",2009)</f>
        <v>7.5637799447047334</v>
      </c>
      <c r="G26" s="342">
        <f>GETPIVOTDATA("dato",'[1]tabla dinámica EM'!$A$58,"categoría","5 *","mes",4,"año",2009)</f>
        <v>6.816870229007634</v>
      </c>
      <c r="H26" s="342">
        <f>GETPIVOTDATA("dato",'[1]tabla dinámica EM'!$A$58,"categoría","HOTELEROS","mes",4,"año",2009)</f>
        <v>7.4878434126217854</v>
      </c>
      <c r="I26" s="342">
        <f>GETPIVOTDATA("dato",'[1]tabla dinámica EM'!$A$58,"categoría","EXTRAHOTELEROS","mes",4,"año",2009)</f>
        <v>8.0707939016633574</v>
      </c>
      <c r="J26" s="342">
        <f>GETPIVOTDATA("dato",'[1]tabla dinámica EM'!$A$58,"categoría","TOTAL","mes",4,"año",2009)</f>
        <v>7.6993085221671436</v>
      </c>
    </row>
    <row r="27" spans="3:10" hidden="1" outlineLevel="1">
      <c r="C27" s="51" t="s">
        <v>46</v>
      </c>
      <c r="D27" s="342">
        <f>GETPIVOTDATA("dato",'[1]tabla dinámica EM'!$A$58,"categoría","1* y 2 *","mes",3,"año",2009)</f>
        <v>7.25</v>
      </c>
      <c r="E27" s="342">
        <f>GETPIVOTDATA("dato",'[1]tabla dinámica EM'!$A$58,"categoría","3 *","mes",3,"año",2009)</f>
        <v>8.2899999999999991</v>
      </c>
      <c r="F27" s="342">
        <f>GETPIVOTDATA("dato",'[1]tabla dinámica EM'!$A$58,"categoría","4 *","mes",3,"año",2009)</f>
        <v>8.2899999999999991</v>
      </c>
      <c r="G27" s="342">
        <f>GETPIVOTDATA("dato",'[1]tabla dinámica EM'!$A$58,"categoría","5 *","mes",3,"año",2009)</f>
        <v>7.26</v>
      </c>
      <c r="H27" s="342">
        <f>GETPIVOTDATA("dato",'[1]tabla dinámica EM'!$A$58,"categoría","HOTELEROS","mes",3,"año",2009)</f>
        <v>8.1300000000000008</v>
      </c>
      <c r="I27" s="342">
        <f>GETPIVOTDATA("dato",'[1]tabla dinámica EM'!$A$58,"categoría","EXTRAHOTELEROS","mes",3,"año",2009)</f>
        <v>9.34</v>
      </c>
      <c r="J27" s="342">
        <f>GETPIVOTDATA("dato",'[1]tabla dinámica EM'!$A$58,"categoría","TOTAL","mes",3,"año",2009)</f>
        <v>8.57</v>
      </c>
    </row>
    <row r="28" spans="3:10" hidden="1" outlineLevel="1">
      <c r="C28" s="51" t="s">
        <v>47</v>
      </c>
      <c r="D28" s="342">
        <f>GETPIVOTDATA("dato",'[1]tabla dinámica EM'!$A$58,"categoría","1* y 2 *","mes",2,"año",2009)</f>
        <v>7.8743961352657008</v>
      </c>
      <c r="E28" s="342">
        <f>GETPIVOTDATA("dato",'[1]tabla dinámica EM'!$A$58,"categoría","3 *","mes",2,"año",2009)</f>
        <v>8.61</v>
      </c>
      <c r="F28" s="342">
        <f>GETPIVOTDATA("dato",'[1]tabla dinámica EM'!$A$58,"categoría","4 *","mes",2,"año",2009)</f>
        <v>7.84</v>
      </c>
      <c r="G28" s="342">
        <f>GETPIVOTDATA("dato",'[1]tabla dinámica EM'!$A$58,"categoría","5 *","mes",2,"año",2009)</f>
        <v>6.44</v>
      </c>
      <c r="H28" s="342">
        <f>GETPIVOTDATA("dato",'[1]tabla dinámica EM'!$A$58,"categoría","HOTELEROS","mes",2,"año",2009)</f>
        <v>7.79</v>
      </c>
      <c r="I28" s="342">
        <f>GETPIVOTDATA("dato",'[1]tabla dinámica EM'!$A$58,"categoría","EXTRAHOTELEROS","mes",2,"año",2009)</f>
        <v>9.1199999999999992</v>
      </c>
      <c r="J28" s="342">
        <f>GETPIVOTDATA("dato",'[1]tabla dinámica EM'!$A$58,"categoría","TOTAL","mes",2,"año",2009)</f>
        <v>8.2899999999999991</v>
      </c>
    </row>
    <row r="29" spans="3:10" hidden="1" outlineLevel="1">
      <c r="C29" s="51" t="s">
        <v>48</v>
      </c>
      <c r="D29" s="342">
        <f>GETPIVOTDATA("dato",'[1]tabla dinámica EM'!$A$58,"categoría","1* y 2 *","mes",1,"año",2009)</f>
        <v>7.9375975039001556</v>
      </c>
      <c r="E29" s="342">
        <f>GETPIVOTDATA("dato",'[1]tabla dinámica EM'!$A$58,"categoría","3 *","mes",1,"año",2009)</f>
        <v>9.39</v>
      </c>
      <c r="F29" s="342">
        <f>GETPIVOTDATA("dato",'[1]tabla dinámica EM'!$A$58,"categoría","4 *","mes",1,"año",2009)</f>
        <v>9.07</v>
      </c>
      <c r="G29" s="342">
        <f>GETPIVOTDATA("dato",'[1]tabla dinámica EM'!$A$58,"categoría","5 *","mes",1,"año",2009)</f>
        <v>8.2799999999999994</v>
      </c>
      <c r="H29" s="342">
        <f>GETPIVOTDATA("dato",'[1]tabla dinámica EM'!$A$58,"categoría","HOTELEROS","mes",1,"año",2009)</f>
        <v>9.01</v>
      </c>
      <c r="I29" s="342">
        <f>GETPIVOTDATA("dato",'[1]tabla dinámica EM'!$A$58,"categoría","EXTRAHOTELEROS","mes",1,"año",2009)</f>
        <v>9.2799999999999994</v>
      </c>
      <c r="J29" s="342">
        <f>GETPIVOTDATA("dato",'[1]tabla dinámica EM'!$A$58,"categoría","TOTAL","mes",1,"año",2009)</f>
        <v>9.1199999999999992</v>
      </c>
    </row>
    <row r="30" spans="3:10" collapsed="1">
      <c r="C30" s="56">
        <v>2009</v>
      </c>
      <c r="D30" s="345">
        <f>'[1]tabla dinámica EM'!E269</f>
        <v>7.2333662510801133</v>
      </c>
      <c r="E30" s="345">
        <f>'[1]tabla dinámica EM'!E282</f>
        <v>8.6009183851259827</v>
      </c>
      <c r="F30" s="345">
        <f>'[1]tabla dinámica EM'!E295</f>
        <v>7.8948051237673411</v>
      </c>
      <c r="G30" s="345">
        <f>'[1]tabla dinámica EM'!E308</f>
        <v>7.3437237658780949</v>
      </c>
      <c r="H30" s="345">
        <f>'[1]tabla dinámica EM'!E334</f>
        <v>7.9278989776139257</v>
      </c>
      <c r="I30" s="345">
        <f>'[1]tabla dinámica EM'!E321</f>
        <v>8.6757024494167698</v>
      </c>
      <c r="J30" s="345">
        <f>'[1]tabla dinámica EM'!E347</f>
        <v>8.1984413876998072</v>
      </c>
    </row>
    <row r="31" spans="3:10" hidden="1" outlineLevel="1">
      <c r="C31" s="51" t="s">
        <v>37</v>
      </c>
      <c r="D31" s="342">
        <f>GETPIVOTDATA("dato",'[1]tabla dinámica EM'!$A$58,"categoría","1* y 2 *","mes",12,"año",2008)</f>
        <v>8.0955085183273106</v>
      </c>
      <c r="E31" s="342">
        <f>GETPIVOTDATA("dato",'[1]tabla dinámica EM'!$A$58,"categoría","3 *","mes",12,"año",2008)</f>
        <v>8.98</v>
      </c>
      <c r="F31" s="342">
        <f>GETPIVOTDATA("dato",'[1]tabla dinámica EM'!$A$58,"categoría","4 *","mes",12,"año",2008)</f>
        <v>8.5</v>
      </c>
      <c r="G31" s="342">
        <f>GETPIVOTDATA("dato",'[1]tabla dinámica EM'!$A$58,"categoría","5 *","mes",12,"año",2008)</f>
        <v>7.76</v>
      </c>
      <c r="H31" s="342">
        <f>GETPIVOTDATA("dato",'[1]tabla dinámica EM'!$A$58,"categoría","HOTELEROS","mes",12,"año",2008)</f>
        <v>8.5</v>
      </c>
      <c r="I31" s="342">
        <f>GETPIVOTDATA("dato",'[1]tabla dinámica EM'!$A$58,"categoría","EXTRAHOTELEROS","mes",12,"año",2008)</f>
        <v>8.9</v>
      </c>
      <c r="J31" s="342">
        <f>GETPIVOTDATA("dato",'[1]tabla dinámica EM'!$A$58,"categoría","TOTAL","mes",12,"año",2008)</f>
        <v>8.65</v>
      </c>
    </row>
    <row r="32" spans="3:10" hidden="1" outlineLevel="1">
      <c r="C32" s="51" t="s">
        <v>38</v>
      </c>
      <c r="D32" s="342">
        <f>GETPIVOTDATA("dato",'[1]tabla dinámica EM'!$A$58,"categoría","1* y 2 *","mes",11,"año",2008)</f>
        <v>7.408872260823089</v>
      </c>
      <c r="E32" s="342">
        <f>GETPIVOTDATA("dato",'[1]tabla dinámica EM'!$A$58,"categoría","3 *","mes",11,"año",2008)</f>
        <v>8.86</v>
      </c>
      <c r="F32" s="342">
        <f>GETPIVOTDATA("dato",'[1]tabla dinámica EM'!$A$58,"categoría","4 *","mes",11,"año",2008)</f>
        <v>8.3000000000000007</v>
      </c>
      <c r="G32" s="342">
        <f>GETPIVOTDATA("dato",'[1]tabla dinámica EM'!$A$58,"categoría","5 *","mes",11,"año",2008)</f>
        <v>7.84</v>
      </c>
      <c r="H32" s="342">
        <f>GETPIVOTDATA("dato",'[1]tabla dinámica EM'!$A$58,"categoría","HOTELEROS","mes",11,"año",2008)</f>
        <v>8.34</v>
      </c>
      <c r="I32" s="342">
        <f>GETPIVOTDATA("dato",'[1]tabla dinámica EM'!$A$58,"categoría","EXTRAHOTELEROS","mes",11,"año",2008)</f>
        <v>8.58</v>
      </c>
      <c r="J32" s="342">
        <f>GETPIVOTDATA("dato",'[1]tabla dinámica EM'!$A$58,"categoría","TOTAL","mes",11,"año",2008)</f>
        <v>8.43</v>
      </c>
    </row>
    <row r="33" spans="3:10" hidden="1" outlineLevel="1">
      <c r="C33" s="51" t="s">
        <v>39</v>
      </c>
      <c r="D33" s="342">
        <f>GETPIVOTDATA("dato",'[1]tabla dinámica EM'!$A$58,"categoría","1* y 2 *","mes",10,"año",2008)</f>
        <v>6.869377990430622</v>
      </c>
      <c r="E33" s="342">
        <f>GETPIVOTDATA("dato",'[1]tabla dinámica EM'!$A$58,"categoría","3 *","mes",10,"año",2008)</f>
        <v>8.48</v>
      </c>
      <c r="F33" s="342">
        <f>GETPIVOTDATA("dato",'[1]tabla dinámica EM'!$A$58,"categoría","4 *","mes",10,"año",2008)</f>
        <v>7.84</v>
      </c>
      <c r="G33" s="342">
        <f>GETPIVOTDATA("dato",'[1]tabla dinámica EM'!$A$58,"categoría","5 *","mes",10,"año",2008)</f>
        <v>8.14</v>
      </c>
      <c r="H33" s="342">
        <f>GETPIVOTDATA("dato",'[1]tabla dinámica EM'!$A$58,"categoría","HOTELEROS","mes",10,"año",2008)</f>
        <v>7.99</v>
      </c>
      <c r="I33" s="342">
        <f>GETPIVOTDATA("dato",'[1]tabla dinámica EM'!$A$58,"categoría","EXTRAHOTELEROS","mes",10,"año",2008)</f>
        <v>8.06</v>
      </c>
      <c r="J33" s="342">
        <f>GETPIVOTDATA("dato",'[1]tabla dinámica EM'!$A$58,"categoría","TOTAL","mes",10,"año",2008)</f>
        <v>8.02</v>
      </c>
    </row>
    <row r="34" spans="3:10" hidden="1" outlineLevel="1">
      <c r="C34" s="51" t="s">
        <v>40</v>
      </c>
      <c r="D34" s="342">
        <f>GETPIVOTDATA("dato",'[1]tabla dinámica EM'!$A$58,"categoría","1* y 2 *","mes",9,"año",2008)</f>
        <v>7.540322580645161</v>
      </c>
      <c r="E34" s="342">
        <f>GETPIVOTDATA("dato",'[1]tabla dinámica EM'!$A$58,"categoría","3 *","mes",9,"año",2008)</f>
        <v>9.39</v>
      </c>
      <c r="F34" s="342">
        <f>GETPIVOTDATA("dato",'[1]tabla dinámica EM'!$A$58,"categoría","4 *","mes",9,"año",2008)</f>
        <v>8.4</v>
      </c>
      <c r="G34" s="342">
        <f>GETPIVOTDATA("dato",'[1]tabla dinámica EM'!$A$58,"categoría","5 *","mes",9,"año",2008)</f>
        <v>9.0399999999999991</v>
      </c>
      <c r="H34" s="342">
        <f>GETPIVOTDATA("dato",'[1]tabla dinámica EM'!$A$58,"categoría","HOTELEROS","mes",9,"año",2008)</f>
        <v>8.6300000000000008</v>
      </c>
      <c r="I34" s="342">
        <f>GETPIVOTDATA("dato",'[1]tabla dinámica EM'!$A$58,"categoría","EXTRAHOTELEROS","mes",9,"año",2008)</f>
        <v>8.75</v>
      </c>
      <c r="J34" s="342">
        <f>GETPIVOTDATA("dato",'[1]tabla dinámica EM'!$A$58,"categoría","TOTAL","mes",9,"año",2008)</f>
        <v>8.68</v>
      </c>
    </row>
    <row r="35" spans="3:10" hidden="1" outlineLevel="1">
      <c r="C35" s="51" t="s">
        <v>41</v>
      </c>
      <c r="D35" s="342">
        <f>GETPIVOTDATA("dato",'[1]tabla dinámica EM'!$A$58,"categoría","1* y 2 *","mes",8,"año",2008)</f>
        <v>6.9663128749423162</v>
      </c>
      <c r="E35" s="342">
        <f>GETPIVOTDATA("dato",'[1]tabla dinámica EM'!$A$58,"categoría","3 *","mes",8,"año",2008)</f>
        <v>8.6300000000000008</v>
      </c>
      <c r="F35" s="342">
        <f>GETPIVOTDATA("dato",'[1]tabla dinámica EM'!$A$58,"categoría","4 *","mes",8,"año",2008)</f>
        <v>8.1999999999999993</v>
      </c>
      <c r="G35" s="342">
        <f>GETPIVOTDATA("dato",'[1]tabla dinámica EM'!$A$58,"categoría","5 *","mes",8,"año",2008)</f>
        <v>8.43</v>
      </c>
      <c r="H35" s="342">
        <f>GETPIVOTDATA("dato",'[1]tabla dinámica EM'!$A$58,"categoría","HOTELEROS","mes",8,"año",2008)</f>
        <v>8.2899999999999991</v>
      </c>
      <c r="I35" s="342">
        <f>GETPIVOTDATA("dato",'[1]tabla dinámica EM'!$A$58,"categoría","EXTRAHOTELEROS","mes",8,"año",2008)</f>
        <v>8.84</v>
      </c>
      <c r="J35" s="342">
        <f>GETPIVOTDATA("dato",'[1]tabla dinámica EM'!$A$58,"categoría","TOTAL","mes",8,"año",2008)</f>
        <v>8.51</v>
      </c>
    </row>
    <row r="36" spans="3:10" hidden="1" outlineLevel="1">
      <c r="C36" s="51" t="s">
        <v>42</v>
      </c>
      <c r="D36" s="342">
        <f>GETPIVOTDATA("dato",'[1]tabla dinámica EM'!$A$58,"categoría","1* y 2 *","mes",7,"año",2008)</f>
        <v>8.3272946859903385</v>
      </c>
      <c r="E36" s="342">
        <f>GETPIVOTDATA("dato",'[1]tabla dinámica EM'!$A$58,"categoría","3 *","mes",7,"año",2008)</f>
        <v>9.3699999999999992</v>
      </c>
      <c r="F36" s="342">
        <f>GETPIVOTDATA("dato",'[1]tabla dinámica EM'!$A$58,"categoría","4 *","mes",7,"año",2008)</f>
        <v>9.33</v>
      </c>
      <c r="G36" s="342">
        <f>GETPIVOTDATA("dato",'[1]tabla dinámica EM'!$A$58,"categoría","5 *","mes",7,"año",2008)</f>
        <v>7.99</v>
      </c>
      <c r="H36" s="342">
        <f>GETPIVOTDATA("dato",'[1]tabla dinámica EM'!$A$58,"categoría","HOTELEROS","mes",7,"año",2008)</f>
        <v>9.1199999999999992</v>
      </c>
      <c r="I36" s="342">
        <f>GETPIVOTDATA("dato",'[1]tabla dinámica EM'!$A$58,"categoría","EXTRAHOTELEROS","mes",7,"año",2008)</f>
        <v>9.5299999999999994</v>
      </c>
      <c r="J36" s="342">
        <f>GETPIVOTDATA("dato",'[1]tabla dinámica EM'!$A$58,"categoría","TOTAL","mes",7,"año",2008)</f>
        <v>9.27</v>
      </c>
    </row>
    <row r="37" spans="3:10" hidden="1" outlineLevel="1">
      <c r="C37" s="51" t="s">
        <v>43</v>
      </c>
      <c r="D37" s="342">
        <f>GETPIVOTDATA("dato",'[1]tabla dinámica EM'!$A$58,"categoría","1* y 2 *","mes",6,"año",2008)</f>
        <v>8.4172141918528247</v>
      </c>
      <c r="E37" s="342">
        <f>GETPIVOTDATA("dato",'[1]tabla dinámica EM'!$A$58,"categoría","3 *","mes",6,"año",2008)</f>
        <v>8.5813376483279402</v>
      </c>
      <c r="F37" s="342">
        <f>GETPIVOTDATA("dato",'[1]tabla dinámica EM'!$A$58,"categoría","4 *","mes",6,"año",2008)</f>
        <v>7.5895321545923959</v>
      </c>
      <c r="G37" s="342">
        <f>GETPIVOTDATA("dato",'[1]tabla dinámica EM'!$A$58,"categoría","5 *","mes",6,"año",2008)</f>
        <v>7.629494210847044</v>
      </c>
      <c r="H37" s="342">
        <f>GETPIVOTDATA("dato",'[1]tabla dinámica EM'!$A$58,"categoría","HOTELEROS","mes",6,"año",2008)</f>
        <v>7.79</v>
      </c>
      <c r="I37" s="342">
        <f>GETPIVOTDATA("dato",'[1]tabla dinámica EM'!$A$58,"categoría","EXTRAHOTELEROS","mes",6,"año",2008)</f>
        <v>9.39</v>
      </c>
      <c r="J37" s="342">
        <f>GETPIVOTDATA("dato",'[1]tabla dinámica EM'!$A$58,"categoría","TOTAL","mes",6,"año",2008)</f>
        <v>8.31</v>
      </c>
    </row>
    <row r="38" spans="3:10" hidden="1" outlineLevel="1">
      <c r="C38" s="51" t="s">
        <v>44</v>
      </c>
      <c r="D38" s="342">
        <f>GETPIVOTDATA("dato",'[1]tabla dinámica EM'!$A$58,"categoría","1* y 2 *","mes",5,"año",2008)</f>
        <v>7.0282722513089002</v>
      </c>
      <c r="E38" s="342">
        <f>GETPIVOTDATA("dato",'[1]tabla dinámica EM'!$A$58,"categoría","3 *","mes",5,"año",2008)</f>
        <v>8.84</v>
      </c>
      <c r="F38" s="342">
        <f>GETPIVOTDATA("dato",'[1]tabla dinámica EM'!$A$58,"categoría","4 *","mes",5,"año",2008)</f>
        <v>7.07</v>
      </c>
      <c r="G38" s="342">
        <f>GETPIVOTDATA("dato",'[1]tabla dinámica EM'!$A$58,"categoría","5 *","mes",5,"año",2008)</f>
        <v>6.96</v>
      </c>
      <c r="H38" s="342">
        <f>GETPIVOTDATA("dato",'[1]tabla dinámica EM'!$A$58,"categoría","HOTELEROS","mes",5,"año",2008)</f>
        <v>7.38</v>
      </c>
      <c r="I38" s="342">
        <f>GETPIVOTDATA("dato",'[1]tabla dinámica EM'!$A$58,"categoría","EXTRAHOTELEROS","mes",5,"año",2008)</f>
        <v>8.7200000000000006</v>
      </c>
      <c r="J38" s="342">
        <f>GETPIVOTDATA("dato",'[1]tabla dinámica EM'!$A$58,"categoría","TOTAL","mes",5,"año",2008)</f>
        <v>7.82</v>
      </c>
    </row>
    <row r="39" spans="3:10" hidden="1" outlineLevel="1">
      <c r="C39" s="51" t="s">
        <v>45</v>
      </c>
      <c r="D39" s="342">
        <f>GETPIVOTDATA("dato",'[1]tabla dinámica EM'!$A$58,"categoría","1* y 2 *","mes",4,"año",2008)</f>
        <v>7.893198090692124</v>
      </c>
      <c r="E39" s="342">
        <f>GETPIVOTDATA("dato",'[1]tabla dinámica EM'!$A$58,"categoría","3 *","mes",4,"año",2008)</f>
        <v>8.8000000000000007</v>
      </c>
      <c r="F39" s="342">
        <f>GETPIVOTDATA("dato",'[1]tabla dinámica EM'!$A$58,"categoría","4 *","mes",4,"año",2008)</f>
        <v>8.26</v>
      </c>
      <c r="G39" s="342">
        <f>GETPIVOTDATA("dato",'[1]tabla dinámica EM'!$A$58,"categoría","5 *","mes",4,"año",2008)</f>
        <v>7.49</v>
      </c>
      <c r="H39" s="342">
        <f>GETPIVOTDATA("dato",'[1]tabla dinámica EM'!$A$58,"categoría","HOTELEROS","mes",4,"año",2008)</f>
        <v>8.24</v>
      </c>
      <c r="I39" s="342">
        <f>GETPIVOTDATA("dato",'[1]tabla dinámica EM'!$A$58,"categoría","EXTRAHOTELEROS","mes",4,"año",2008)</f>
        <v>9.17</v>
      </c>
      <c r="J39" s="342">
        <f>GETPIVOTDATA("dato",'[1]tabla dinámica EM'!$A$58,"categoría","TOTAL","mes",4,"año",2008)</f>
        <v>8.5500000000000007</v>
      </c>
    </row>
    <row r="40" spans="3:10" hidden="1" outlineLevel="1">
      <c r="C40" s="51" t="s">
        <v>46</v>
      </c>
      <c r="D40" s="342">
        <f>GETPIVOTDATA("dato",'[1]tabla dinámica EM'!$A$58,"categoría","1* y 2 *","mes",3,"año",2008)</f>
        <v>7.3100519112789053</v>
      </c>
      <c r="E40" s="342">
        <f>GETPIVOTDATA("dato",'[1]tabla dinámica EM'!$A$58,"categoría","3 *","mes",3,"año",2008)</f>
        <v>8.35</v>
      </c>
      <c r="F40" s="342">
        <f>GETPIVOTDATA("dato",'[1]tabla dinámica EM'!$A$58,"categoría","4 *","mes",3,"año",2008)</f>
        <v>7.65</v>
      </c>
      <c r="G40" s="342">
        <f>GETPIVOTDATA("dato",'[1]tabla dinámica EM'!$A$58,"categoría","5 *","mes",3,"año",2008)</f>
        <v>7.43</v>
      </c>
      <c r="H40" s="342">
        <f>GETPIVOTDATA("dato",'[1]tabla dinámica EM'!$A$58,"categoría","HOTELEROS","mes",3,"año",2008)</f>
        <v>7.76</v>
      </c>
      <c r="I40" s="342">
        <f>GETPIVOTDATA("dato",'[1]tabla dinámica EM'!$A$58,"categoría","EXTRAHOTELEROS","mes",3,"año",2008)</f>
        <v>9.09</v>
      </c>
      <c r="J40" s="342">
        <f>GETPIVOTDATA("dato",'[1]tabla dinámica EM'!$A$58,"categoría","TOTAL","mes",3,"año",2008)</f>
        <v>8.23</v>
      </c>
    </row>
    <row r="41" spans="3:10" hidden="1" outlineLevel="1">
      <c r="C41" s="51" t="s">
        <v>47</v>
      </c>
      <c r="D41" s="342">
        <f>GETPIVOTDATA("dato",'[1]tabla dinámica EM'!$A$58,"categoría","1* y 2 *","mes",2,"año",2008)</f>
        <v>6.9116575591985425</v>
      </c>
      <c r="E41" s="342">
        <f>GETPIVOTDATA("dato",'[1]tabla dinámica EM'!$A$58,"categoría","3 *","mes",2,"año",2008)</f>
        <v>9.0500000000000007</v>
      </c>
      <c r="F41" s="342">
        <f>GETPIVOTDATA("dato",'[1]tabla dinámica EM'!$A$58,"categoría","4 *","mes",2,"año",2008)</f>
        <v>7.8</v>
      </c>
      <c r="G41" s="342">
        <f>GETPIVOTDATA("dato",'[1]tabla dinámica EM'!$A$58,"categoría","5 *","mes",2,"año",2008)</f>
        <v>7.27</v>
      </c>
      <c r="H41" s="342">
        <f>GETPIVOTDATA("dato",'[1]tabla dinámica EM'!$A$58,"categoría","HOTELEROS","mes",2,"año",2008)</f>
        <v>7.97</v>
      </c>
      <c r="I41" s="342">
        <f>GETPIVOTDATA("dato",'[1]tabla dinámica EM'!$A$58,"categoría","EXTRAHOTELEROS","mes",2,"año",2008)</f>
        <v>8.85</v>
      </c>
      <c r="J41" s="342">
        <f>GETPIVOTDATA("dato",'[1]tabla dinámica EM'!$A$58,"categoría","TOTAL","mes",2,"año",2008)</f>
        <v>8.3000000000000007</v>
      </c>
    </row>
    <row r="42" spans="3:10" hidden="1" outlineLevel="1">
      <c r="C42" s="51" t="s">
        <v>48</v>
      </c>
      <c r="D42" s="342">
        <f>GETPIVOTDATA("dato",'[1]tabla dinámica EM'!$A$58,"categoría","1* y 2 *","mes",1,"año",2008)</f>
        <v>8.8283991228070171</v>
      </c>
      <c r="E42" s="342">
        <f>GETPIVOTDATA("dato",'[1]tabla dinámica EM'!$A$58,"categoría","3 *","mes",1,"año",2008)</f>
        <v>9.81</v>
      </c>
      <c r="F42" s="342">
        <f>GETPIVOTDATA("dato",'[1]tabla dinámica EM'!$A$58,"categoría","4 *","mes",1,"año",2008)</f>
        <v>9.61</v>
      </c>
      <c r="G42" s="342">
        <f>GETPIVOTDATA("dato",'[1]tabla dinámica EM'!$A$58,"categoría","5 *","mes",1,"año",2008)</f>
        <v>8.6199999999999992</v>
      </c>
      <c r="H42" s="342">
        <f>GETPIVOTDATA("dato",'[1]tabla dinámica EM'!$A$58,"categoría","HOTELEROS","mes",1,"año",2008)</f>
        <v>9.5</v>
      </c>
      <c r="I42" s="342">
        <f>GETPIVOTDATA("dato",'[1]tabla dinámica EM'!$A$58,"categoría","EXTRAHOTELEROS","mes",1,"año",2008)</f>
        <v>10.47</v>
      </c>
      <c r="J42" s="342">
        <f>GETPIVOTDATA("dato",'[1]tabla dinámica EM'!$A$58,"categoría","TOTAL","mes",1,"año",2008)</f>
        <v>9.86</v>
      </c>
    </row>
    <row r="43" spans="3:10" collapsed="1">
      <c r="C43" s="58">
        <v>2008</v>
      </c>
      <c r="D43" s="346">
        <f>'[1]tabla dinámica EM'!D269</f>
        <v>7.5806465821000701</v>
      </c>
      <c r="E43" s="346">
        <f>'[1]tabla dinámica EM'!D282</f>
        <v>8.9061119994697471</v>
      </c>
      <c r="F43" s="346">
        <f>'[1]tabla dinámica EM'!D295</f>
        <v>8.1906971364107211</v>
      </c>
      <c r="G43" s="346">
        <f>'[1]tabla dinámica EM'!D308</f>
        <v>7.8311227937555117</v>
      </c>
      <c r="H43" s="346">
        <f>'[1]tabla dinámica EM'!D334</f>
        <v>8.2702065580419415</v>
      </c>
      <c r="I43" s="346">
        <f>'[1]tabla dinámica EM'!D321</f>
        <v>9.0178960397852528</v>
      </c>
      <c r="J43" s="346">
        <f>'[1]tabla dinámica EM'!D347</f>
        <v>8.5401565474931243</v>
      </c>
    </row>
    <row r="44" spans="3:10" hidden="1" outlineLevel="1">
      <c r="C44" s="51" t="s">
        <v>37</v>
      </c>
      <c r="D44" s="342">
        <f>GETPIVOTDATA("dato",'[1]tabla dinámica EM'!$A$58,"categoría","1* y 2 *","mes",12,"año",2007)</f>
        <v>7.8584585555016968</v>
      </c>
      <c r="E44" s="342">
        <f>GETPIVOTDATA("dato",'[1]tabla dinámica EM'!$A$58,"categoría","3 *","mes",12,"año",2007)</f>
        <v>9.1300000000000008</v>
      </c>
      <c r="F44" s="342">
        <f>GETPIVOTDATA("dato",'[1]tabla dinámica EM'!$A$58,"categoría","4 *","mes",12,"año",2007)</f>
        <v>8.82</v>
      </c>
      <c r="G44" s="342">
        <f>GETPIVOTDATA("dato",'[1]tabla dinámica EM'!$A$58,"categoría","5 *","mes",12,"año",2007)</f>
        <v>7.39</v>
      </c>
      <c r="H44" s="342">
        <f>GETPIVOTDATA("dato",'[1]tabla dinámica EM'!$A$58,"categoría","HOTELEROS","mes",12,"año",2007)</f>
        <v>8.64</v>
      </c>
      <c r="I44" s="342">
        <f>GETPIVOTDATA("dato",'[1]tabla dinámica EM'!$A$58,"categoría","EXTRAHOTELEROS","mes",12,"año",2007)</f>
        <v>9.8699999999999992</v>
      </c>
      <c r="J44" s="342">
        <f>GETPIVOTDATA("dato",'[1]tabla dinámica EM'!$A$58,"categoría","TOTAL","mes",12,"año",2007)</f>
        <v>9.09</v>
      </c>
    </row>
    <row r="45" spans="3:10" hidden="1" outlineLevel="1">
      <c r="C45" s="51" t="s">
        <v>38</v>
      </c>
      <c r="D45" s="342">
        <f>GETPIVOTDATA("dato",'[1]tabla dinámica EM'!$A$58,"categoría","1* y 2 *","mes",11,"año",2007)</f>
        <v>7.2993348115299339</v>
      </c>
      <c r="E45" s="342">
        <f>GETPIVOTDATA("dato",'[1]tabla dinámica EM'!$A$58,"categoría","3 *","mes",11,"año",2007)</f>
        <v>8.75</v>
      </c>
      <c r="F45" s="342">
        <f>GETPIVOTDATA("dato",'[1]tabla dinámica EM'!$A$58,"categoría","4 *","mes",11,"año",2007)</f>
        <v>8.2799999999999994</v>
      </c>
      <c r="G45" s="342">
        <f>GETPIVOTDATA("dato",'[1]tabla dinámica EM'!$A$58,"categoría","5 *","mes",11,"año",2007)</f>
        <v>7.11</v>
      </c>
      <c r="H45" s="342">
        <f>GETPIVOTDATA("dato",'[1]tabla dinámica EM'!$A$58,"categoría","HOTELEROS","mes",11,"año",2007)</f>
        <v>8.18</v>
      </c>
      <c r="I45" s="342">
        <f>GETPIVOTDATA("dato",'[1]tabla dinámica EM'!$A$58,"categoría","EXTRAHOTELEROS","mes",11,"año",2007)</f>
        <v>8.6199999999999992</v>
      </c>
      <c r="J45" s="342">
        <f>GETPIVOTDATA("dato",'[1]tabla dinámica EM'!$A$58,"categoría","TOTAL","mes",11,"año",2007)</f>
        <v>8.35</v>
      </c>
    </row>
    <row r="46" spans="3:10" hidden="1" outlineLevel="1">
      <c r="C46" s="51" t="s">
        <v>39</v>
      </c>
      <c r="D46" s="342">
        <f>GETPIVOTDATA("dato",'[1]tabla dinámica EM'!$A$58,"categoría","1* y 2 *","mes",10,"año",2007)</f>
        <v>8.3703308431163279</v>
      </c>
      <c r="E46" s="342">
        <f>GETPIVOTDATA("dato",'[1]tabla dinámica EM'!$A$58,"categoría","3 *","mes",10,"año",2007)</f>
        <v>8.44</v>
      </c>
      <c r="F46" s="342">
        <f>GETPIVOTDATA("dato",'[1]tabla dinámica EM'!$A$58,"categoría","4 *","mes",10,"año",2007)</f>
        <v>7.67</v>
      </c>
      <c r="G46" s="342">
        <f>GETPIVOTDATA("dato",'[1]tabla dinámica EM'!$A$58,"categoría","5 *","mes",10,"año",2007)</f>
        <v>6.91</v>
      </c>
      <c r="H46" s="342">
        <f>GETPIVOTDATA("dato",'[1]tabla dinámica EM'!$A$58,"categoría","HOTELEROS","mes",10,"año",2007)</f>
        <v>7.7</v>
      </c>
      <c r="I46" s="342">
        <f>GETPIVOTDATA("dato",'[1]tabla dinámica EM'!$A$58,"categoría","EXTRAHOTELEROS","mes",10,"año",2007)</f>
        <v>8.69</v>
      </c>
      <c r="J46" s="342">
        <f>GETPIVOTDATA("dato",'[1]tabla dinámica EM'!$A$58,"categoría","TOTAL","mes",10,"año",2007)</f>
        <v>8.0500000000000007</v>
      </c>
    </row>
    <row r="47" spans="3:10" hidden="1" outlineLevel="1">
      <c r="C47" s="51" t="s">
        <v>40</v>
      </c>
      <c r="D47" s="342">
        <f>GETPIVOTDATA("dato",'[1]tabla dinámica EM'!$A$58,"categoría","1* y 2 *","mes",9,"año",2007)</f>
        <v>8.8348837209302324</v>
      </c>
      <c r="E47" s="342">
        <f>GETPIVOTDATA("dato",'[1]tabla dinámica EM'!$A$58,"categoría","3 *","mes",9,"año",2007)</f>
        <v>9.66</v>
      </c>
      <c r="F47" s="342">
        <f>GETPIVOTDATA("dato",'[1]tabla dinámica EM'!$A$58,"categoría","4 *","mes",9,"año",2007)</f>
        <v>8.41</v>
      </c>
      <c r="G47" s="342">
        <f>GETPIVOTDATA("dato",'[1]tabla dinámica EM'!$A$58,"categoría","5 *","mes",9,"año",2007)</f>
        <v>7.16</v>
      </c>
      <c r="H47" s="342">
        <f>GETPIVOTDATA("dato",'[1]tabla dinámica EM'!$A$58,"categoría","HOTELEROS","mes",9,"año",2007)</f>
        <v>8.44</v>
      </c>
      <c r="I47" s="342">
        <f>GETPIVOTDATA("dato",'[1]tabla dinámica EM'!$A$58,"categoría","EXTRAHOTELEROS","mes",9,"año",2007)</f>
        <v>9.32</v>
      </c>
      <c r="J47" s="342">
        <f>GETPIVOTDATA("dato",'[1]tabla dinámica EM'!$A$58,"categoría","TOTAL","mes",9,"año",2007)</f>
        <v>8.73</v>
      </c>
    </row>
    <row r="48" spans="3:10" hidden="1" outlineLevel="1">
      <c r="C48" s="51" t="s">
        <v>41</v>
      </c>
      <c r="D48" s="342">
        <f>GETPIVOTDATA("dato",'[1]tabla dinámica EM'!$A$58,"categoría","1* y 2 *","mes",8,"año",2007)</f>
        <v>7.8128941836019621</v>
      </c>
      <c r="E48" s="342">
        <f>GETPIVOTDATA("dato",'[1]tabla dinámica EM'!$A$58,"categoría","3 *","mes",8,"año",2007)</f>
        <v>9.0399999999999991</v>
      </c>
      <c r="F48" s="342">
        <f>GETPIVOTDATA("dato",'[1]tabla dinámica EM'!$A$58,"categoría","4 *","mes",8,"año",2007)</f>
        <v>8.81</v>
      </c>
      <c r="G48" s="342">
        <f>GETPIVOTDATA("dato",'[1]tabla dinámica EM'!$A$58,"categoría","5 *","mes",8,"año",2007)</f>
        <v>7.52</v>
      </c>
      <c r="H48" s="342">
        <f>GETPIVOTDATA("dato",'[1]tabla dinámica EM'!$A$58,"categoría","HOTELEROS","mes",8,"año",2007)</f>
        <v>8.66</v>
      </c>
      <c r="I48" s="342">
        <f>GETPIVOTDATA("dato",'[1]tabla dinámica EM'!$A$58,"categoría","EXTRAHOTELEROS","mes",8,"año",2007)</f>
        <v>9.07</v>
      </c>
      <c r="J48" s="342">
        <f>GETPIVOTDATA("dato",'[1]tabla dinámica EM'!$A$58,"categoría","TOTAL","mes",8,"año",2007)</f>
        <v>8.82</v>
      </c>
    </row>
    <row r="49" spans="3:10" hidden="1" outlineLevel="1">
      <c r="C49" s="51" t="s">
        <v>42</v>
      </c>
      <c r="D49" s="342">
        <f>GETPIVOTDATA("dato",'[1]tabla dinámica EM'!$A$58,"categoría","1* y 2 *","mes",7,"año",2007)</f>
        <v>9.5941278065630389</v>
      </c>
      <c r="E49" s="342">
        <f>GETPIVOTDATA("dato",'[1]tabla dinámica EM'!$A$58,"categoría","3 *","mes",7,"año",2007)</f>
        <v>9.3000000000000007</v>
      </c>
      <c r="F49" s="342">
        <f>GETPIVOTDATA("dato",'[1]tabla dinámica EM'!$A$58,"categoría","4 *","mes",7,"año",2007)</f>
        <v>8.5299999999999994</v>
      </c>
      <c r="G49" s="342">
        <f>GETPIVOTDATA("dato",'[1]tabla dinámica EM'!$A$58,"categoría","5 *","mes",7,"año",2007)</f>
        <v>6.93</v>
      </c>
      <c r="H49" s="342">
        <f>GETPIVOTDATA("dato",'[1]tabla dinámica EM'!$A$58,"categoría","HOTELEROS","mes",7,"año",2007)</f>
        <v>8.4600000000000009</v>
      </c>
      <c r="I49" s="342">
        <f>GETPIVOTDATA("dato",'[1]tabla dinámica EM'!$A$58,"categoría","EXTRAHOTELEROS","mes",7,"año",2007)</f>
        <v>9.4700000000000006</v>
      </c>
      <c r="J49" s="342">
        <f>GETPIVOTDATA("dato",'[1]tabla dinámica EM'!$A$58,"categoría","TOTAL","mes",7,"año",2007)</f>
        <v>8.81</v>
      </c>
    </row>
    <row r="50" spans="3:10" hidden="1" outlineLevel="1">
      <c r="C50" s="51" t="s">
        <v>43</v>
      </c>
      <c r="D50" s="342">
        <f>GETPIVOTDATA("dato",'[1]tabla dinámica EM'!$A$58,"categoría","1* y 2 *","mes",6,"año",2007)</f>
        <v>6.0326797385620914</v>
      </c>
      <c r="E50" s="342">
        <f>GETPIVOTDATA("dato",'[1]tabla dinámica EM'!$A$58,"categoría","3 *","mes",6,"año",2007)</f>
        <v>8.1300000000000008</v>
      </c>
      <c r="F50" s="342">
        <f>GETPIVOTDATA("dato",'[1]tabla dinámica EM'!$A$58,"categoría","4 *","mes",6,"año",2007)</f>
        <v>7.27</v>
      </c>
      <c r="G50" s="342">
        <f>GETPIVOTDATA("dato",'[1]tabla dinámica EM'!$A$58,"categoría","5 *","mes",6,"año",2007)</f>
        <v>6.35</v>
      </c>
      <c r="H50" s="342">
        <f>GETPIVOTDATA("dato",'[1]tabla dinámica EM'!$A$58,"categoría","HOTELEROS","mes",6,"año",2007)</f>
        <v>7.28</v>
      </c>
      <c r="I50" s="342">
        <f>GETPIVOTDATA("dato",'[1]tabla dinámica EM'!$A$58,"categoría","EXTRAHOTELEROS","mes",6,"año",2007)</f>
        <v>8.2200000000000006</v>
      </c>
      <c r="J50" s="342">
        <f>GETPIVOTDATA("dato",'[1]tabla dinámica EM'!$A$58,"categoría","TOTAL","mes",6,"año",2007)</f>
        <v>7.6</v>
      </c>
    </row>
    <row r="51" spans="3:10" hidden="1" outlineLevel="1">
      <c r="C51" s="51" t="s">
        <v>44</v>
      </c>
      <c r="D51" s="342">
        <f>GETPIVOTDATA("dato",'[1]tabla dinámica EM'!$A$58,"categoría","1* y 2 *","mes",5,"año",2007)</f>
        <v>7.654365436543654</v>
      </c>
      <c r="E51" s="342">
        <f>GETPIVOTDATA("dato",'[1]tabla dinámica EM'!$A$58,"categoría","3 *","mes",5,"año",2007)</f>
        <v>9.39</v>
      </c>
      <c r="F51" s="342">
        <f>GETPIVOTDATA("dato",'[1]tabla dinámica EM'!$A$58,"categoría","4 *","mes",5,"año",2007)</f>
        <v>7.89</v>
      </c>
      <c r="G51" s="342">
        <f>GETPIVOTDATA("dato",'[1]tabla dinámica EM'!$A$58,"categoría","5 *","mes",5,"año",2007)</f>
        <v>6.66</v>
      </c>
      <c r="H51" s="342">
        <f>GETPIVOTDATA("dato",'[1]tabla dinámica EM'!$A$58,"categoría","HOTELEROS","mes",5,"año",2007)</f>
        <v>7.92</v>
      </c>
      <c r="I51" s="342">
        <f>GETPIVOTDATA("dato",'[1]tabla dinámica EM'!$A$58,"categoría","EXTRAHOTELEROS","mes",5,"año",2007)</f>
        <v>10.28</v>
      </c>
      <c r="J51" s="342">
        <f>GETPIVOTDATA("dato",'[1]tabla dinámica EM'!$A$58,"categoría","TOTAL","mes",5,"año",2007)</f>
        <v>8.66</v>
      </c>
    </row>
    <row r="52" spans="3:10" hidden="1" outlineLevel="1">
      <c r="C52" s="51" t="s">
        <v>45</v>
      </c>
      <c r="D52" s="342">
        <f>GETPIVOTDATA("dato",'[1]tabla dinámica EM'!$A$58,"categoría","1* y 2 *","mes",4,"año",2007)</f>
        <v>7.2868352223190929</v>
      </c>
      <c r="E52" s="342">
        <f>GETPIVOTDATA("dato",'[1]tabla dinámica EM'!$A$58,"categoría","3 *","mes",4,"año",2007)</f>
        <v>8.17</v>
      </c>
      <c r="F52" s="342">
        <f>GETPIVOTDATA("dato",'[1]tabla dinámica EM'!$A$58,"categoría","4 *","mes",4,"año",2007)</f>
        <v>7.51</v>
      </c>
      <c r="G52" s="342">
        <f>GETPIVOTDATA("dato",'[1]tabla dinámica EM'!$A$58,"categoría","5 *","mes",4,"año",2007)</f>
        <v>6.55</v>
      </c>
      <c r="H52" s="342">
        <f>GETPIVOTDATA("dato",'[1]tabla dinámica EM'!$A$58,"categoría","HOTELEROS","mes",4,"año",2007)</f>
        <v>7.47</v>
      </c>
      <c r="I52" s="342">
        <f>GETPIVOTDATA("dato",'[1]tabla dinámica EM'!$A$58,"categoría","EXTRAHOTELEROS","mes",4,"año",2007)</f>
        <v>9.18</v>
      </c>
      <c r="J52" s="342">
        <f>GETPIVOTDATA("dato",'[1]tabla dinámica EM'!$A$58,"categoría","TOTAL","mes",4,"año",2007)</f>
        <v>8.06</v>
      </c>
    </row>
    <row r="53" spans="3:10" hidden="1" outlineLevel="1">
      <c r="C53" s="51" t="s">
        <v>46</v>
      </c>
      <c r="D53" s="342">
        <f>GETPIVOTDATA("dato",'[1]tabla dinámica EM'!$A$58,"categoría","1* y 2 *","mes",3,"año",2007)</f>
        <v>7.2609830361026537</v>
      </c>
      <c r="E53" s="342">
        <f>GETPIVOTDATA("dato",'[1]tabla dinámica EM'!$A$58,"categoría","3 *","mes",3,"año",2007)</f>
        <v>8.36</v>
      </c>
      <c r="F53" s="342">
        <f>GETPIVOTDATA("dato",'[1]tabla dinámica EM'!$A$58,"categoría","4 *","mes",3,"año",2007)</f>
        <v>7.54</v>
      </c>
      <c r="G53" s="342">
        <f>GETPIVOTDATA("dato",'[1]tabla dinámica EM'!$A$58,"categoría","5 *","mes",3,"año",2007)</f>
        <v>7.52</v>
      </c>
      <c r="H53" s="342">
        <f>GETPIVOTDATA("dato",'[1]tabla dinámica EM'!$A$58,"categoría","HOTELEROS","mes",3,"año",2007)</f>
        <v>7.71</v>
      </c>
      <c r="I53" s="342">
        <f>GETPIVOTDATA("dato",'[1]tabla dinámica EM'!$A$58,"categoría","EXTRAHOTELEROS","mes",3,"año",2007)</f>
        <v>8.8000000000000007</v>
      </c>
      <c r="J53" s="342">
        <f>GETPIVOTDATA("dato",'[1]tabla dinámica EM'!$A$58,"categoría","TOTAL","mes",3,"año",2007)</f>
        <v>8.1300000000000008</v>
      </c>
    </row>
    <row r="54" spans="3:10" hidden="1" outlineLevel="1">
      <c r="C54" s="51" t="s">
        <v>47</v>
      </c>
      <c r="D54" s="342">
        <f>GETPIVOTDATA("dato",'[1]tabla dinámica EM'!$A$58,"categoría","1* y 2 *","mes",2,"año",2007)</f>
        <v>7.7382645803698438</v>
      </c>
      <c r="E54" s="342">
        <f>GETPIVOTDATA("dato",'[1]tabla dinámica EM'!$A$58,"categoría","3 *","mes",2,"año",2007)</f>
        <v>8.6199999999999992</v>
      </c>
      <c r="F54" s="342">
        <f>GETPIVOTDATA("dato",'[1]tabla dinámica EM'!$A$58,"categoría","4 *","mes",2,"año",2007)</f>
        <v>7.95</v>
      </c>
      <c r="G54" s="342">
        <f>GETPIVOTDATA("dato",'[1]tabla dinámica EM'!$A$58,"categoría","5 *","mes",2,"año",2007)</f>
        <v>6.97</v>
      </c>
      <c r="H54" s="342">
        <f>GETPIVOTDATA("dato",'[1]tabla dinámica EM'!$A$58,"categoría","HOTELEROS","mes",2,"año",2007)</f>
        <v>7.93</v>
      </c>
      <c r="I54" s="342">
        <f>GETPIVOTDATA("dato",'[1]tabla dinámica EM'!$A$58,"categoría","EXTRAHOTELEROS","mes",2,"año",2007)</f>
        <v>9.4700000000000006</v>
      </c>
      <c r="J54" s="342">
        <f>GETPIVOTDATA("dato",'[1]tabla dinámica EM'!$A$58,"categoría","TOTAL","mes",2,"año",2007)</f>
        <v>8.51</v>
      </c>
    </row>
    <row r="55" spans="3:10" hidden="1" outlineLevel="1">
      <c r="C55" s="51" t="s">
        <v>48</v>
      </c>
      <c r="D55" s="342">
        <f>GETPIVOTDATA("dato",'[1]tabla dinámica EM'!$A$58,"categoría","1* y 2 *","mes",1,"año",2007)</f>
        <v>8.5442003065917227</v>
      </c>
      <c r="E55" s="342">
        <f>GETPIVOTDATA("dato",'[1]tabla dinámica EM'!$A$58,"categoría","3 *","mes",1,"año",2007)</f>
        <v>9.8000000000000007</v>
      </c>
      <c r="F55" s="342">
        <f>GETPIVOTDATA("dato",'[1]tabla dinámica EM'!$A$58,"categoría","4 *","mes",1,"año",2007)</f>
        <v>9.08</v>
      </c>
      <c r="G55" s="342">
        <f>GETPIVOTDATA("dato",'[1]tabla dinámica EM'!$A$58,"categoría","5 *","mes",1,"año",2007)</f>
        <v>8.26</v>
      </c>
      <c r="H55" s="342">
        <f>GETPIVOTDATA("dato",'[1]tabla dinámica EM'!$A$58,"categoría","HOTELEROS","mes",1,"año",2007)</f>
        <v>9.1</v>
      </c>
      <c r="I55" s="342">
        <f>GETPIVOTDATA("dato",'[1]tabla dinámica EM'!$A$58,"categoría","EXTRAHOTELEROS","mes",1,"año",2007)</f>
        <v>10.45</v>
      </c>
      <c r="J55" s="342">
        <f>GETPIVOTDATA("dato",'[1]tabla dinámica EM'!$A$58,"categoría","TOTAL","mes",1,"año",2007)</f>
        <v>9.6</v>
      </c>
    </row>
    <row r="56" spans="3:10" collapsed="1">
      <c r="C56" s="58">
        <v>2007</v>
      </c>
      <c r="D56" s="346">
        <f>'[1]tabla dinámica EM'!C269</f>
        <v>7.8409523344879739</v>
      </c>
      <c r="E56" s="346">
        <f>'[1]tabla dinámica EM'!C282</f>
        <v>8.8732887683403447</v>
      </c>
      <c r="F56" s="346">
        <f>'[1]tabla dinámica EM'!C295</f>
        <v>8.1368951815049151</v>
      </c>
      <c r="G56" s="346">
        <f>'[1]tabla dinámica EM'!C308</f>
        <v>7.1064592647653608</v>
      </c>
      <c r="H56" s="346">
        <f>'[1]tabla dinámica EM'!C334</f>
        <v>8.118330168873424</v>
      </c>
      <c r="I56" s="346">
        <f>'[1]tabla dinámica EM'!C321</f>
        <v>9.2429870415633388</v>
      </c>
      <c r="J56" s="346">
        <f>'[1]tabla dinámica EM'!C347</f>
        <v>8.5232466644042173</v>
      </c>
    </row>
    <row r="57" spans="3:10" hidden="1" outlineLevel="1">
      <c r="C57" s="51" t="s">
        <v>37</v>
      </c>
      <c r="D57" s="342">
        <f>GETPIVOTDATA("dato",'[1]tabla dinámica EM'!$A$58,"categoría","1* y 2 *","mes",12,"año",2006)</f>
        <v>6.2636103151862468</v>
      </c>
      <c r="E57" s="342">
        <f>GETPIVOTDATA("dato",'[1]tabla dinámica EM'!$A$58,"categoría","3 *","mes",12,"año",2006)</f>
        <v>8.5399999999999991</v>
      </c>
      <c r="F57" s="342">
        <f>GETPIVOTDATA("dato",'[1]tabla dinámica EM'!$A$58,"categoría","4 *","mes",12,"año",2006)</f>
        <v>7.88</v>
      </c>
      <c r="G57" s="342">
        <f>GETPIVOTDATA("dato",'[1]tabla dinámica EM'!$A$58,"categoría","5 *","mes",12,"año",2006)</f>
        <v>7.25</v>
      </c>
      <c r="H57" s="342">
        <f>GETPIVOTDATA("dato",'[1]tabla dinámica EM'!$A$58,"categoría","HOTELEROS","mes",12,"año",2006)</f>
        <v>7.87</v>
      </c>
      <c r="I57" s="342">
        <f>GETPIVOTDATA("dato",'[1]tabla dinámica EM'!$A$58,"categoría","EXTRAHOTELEROS","mes",12,"año",2006)</f>
        <v>8.75</v>
      </c>
      <c r="J57" s="342">
        <f>GETPIVOTDATA("dato",'[1]tabla dinámica EM'!$A$58,"categoría","TOTAL","mes",12,"año",2006)</f>
        <v>8.1999999999999993</v>
      </c>
    </row>
    <row r="58" spans="3:10" hidden="1" outlineLevel="1">
      <c r="C58" s="51" t="s">
        <v>38</v>
      </c>
      <c r="D58" s="342">
        <f>GETPIVOTDATA("dato",'[1]tabla dinámica EM'!$A$58,"categoría","1* y 2 *","mes",11,"año",2006)</f>
        <v>7.3426433915211966</v>
      </c>
      <c r="E58" s="342">
        <f>GETPIVOTDATA("dato",'[1]tabla dinámica EM'!$A$58,"categoría","3 *","mes",11,"año",2006)</f>
        <v>8.51</v>
      </c>
      <c r="F58" s="342">
        <f>GETPIVOTDATA("dato",'[1]tabla dinámica EM'!$A$58,"categoría","4 *","mes",11,"año",2006)</f>
        <v>8.2200000000000006</v>
      </c>
      <c r="G58" s="342">
        <f>GETPIVOTDATA("dato",'[1]tabla dinámica EM'!$A$58,"categoría","5 *","mes",11,"año",2006)</f>
        <v>6.66</v>
      </c>
      <c r="H58" s="342">
        <f>GETPIVOTDATA("dato",'[1]tabla dinámica EM'!$A$58,"categoría","HOTELEROS","mes",11,"año",2006)</f>
        <v>7.97</v>
      </c>
      <c r="I58" s="342">
        <f>GETPIVOTDATA("dato",'[1]tabla dinámica EM'!$A$58,"categoría","EXTRAHOTELEROS","mes",11,"año",2006)</f>
        <v>10.119999999999999</v>
      </c>
      <c r="J58" s="342">
        <f>GETPIVOTDATA("dato",'[1]tabla dinámica EM'!$A$58,"categoría","TOTAL","mes",11,"año",2006)</f>
        <v>8.6999999999999993</v>
      </c>
    </row>
    <row r="59" spans="3:10" hidden="1" outlineLevel="1">
      <c r="C59" s="51" t="s">
        <v>39</v>
      </c>
      <c r="D59" s="342">
        <f>GETPIVOTDATA("dato",'[1]tabla dinámica EM'!$A$58,"categoría","1* y 2 *","mes",10,"año",2006)</f>
        <v>7.1284671532846717</v>
      </c>
      <c r="E59" s="342">
        <f>GETPIVOTDATA("dato",'[1]tabla dinámica EM'!$A$58,"categoría","3 *","mes",10,"año",2006)</f>
        <v>8.6199999999999992</v>
      </c>
      <c r="F59" s="342">
        <f>GETPIVOTDATA("dato",'[1]tabla dinámica EM'!$A$58,"categoría","4 *","mes",10,"año",2006)</f>
        <v>8</v>
      </c>
      <c r="G59" s="342">
        <f>GETPIVOTDATA("dato",'[1]tabla dinámica EM'!$A$58,"categoría","5 *","mes",10,"año",2006)</f>
        <v>5.75</v>
      </c>
      <c r="H59" s="342">
        <f>GETPIVOTDATA("dato",'[1]tabla dinámica EM'!$A$58,"categoría","HOTELEROS","mes",10,"año",2006)</f>
        <v>7.72</v>
      </c>
      <c r="I59" s="342">
        <f>GETPIVOTDATA("dato",'[1]tabla dinámica EM'!$A$58,"categoría","EXTRAHOTELEROS","mes",10,"año",2006)</f>
        <v>8.3800000000000008</v>
      </c>
      <c r="J59" s="342">
        <f>GETPIVOTDATA("dato",'[1]tabla dinámica EM'!$A$58,"categoría","TOTAL","mes",10,"año",2006)</f>
        <v>7.96</v>
      </c>
    </row>
    <row r="60" spans="3:10" hidden="1" outlineLevel="1">
      <c r="C60" s="51" t="s">
        <v>40</v>
      </c>
      <c r="D60" s="342">
        <f>GETPIVOTDATA("dato",'[1]tabla dinámica EM'!$A$58,"categoría","1* y 2 *","mes",9,"año",2006)</f>
        <v>5.8416532474503491</v>
      </c>
      <c r="E60" s="342">
        <f>GETPIVOTDATA("dato",'[1]tabla dinámica EM'!$A$58,"categoría","3 *","mes",9,"año",2006)</f>
        <v>8.58</v>
      </c>
      <c r="F60" s="342">
        <f>GETPIVOTDATA("dato",'[1]tabla dinámica EM'!$A$58,"categoría","4 *","mes",9,"año",2006)</f>
        <v>7.8</v>
      </c>
      <c r="G60" s="342">
        <f>GETPIVOTDATA("dato",'[1]tabla dinámica EM'!$A$58,"categoría","5 *","mes",9,"año",2006)</f>
        <v>8</v>
      </c>
      <c r="H60" s="342">
        <f>GETPIVOTDATA("dato",'[1]tabla dinámica EM'!$A$58,"categoría","HOTELEROS","mes",9,"año",2006)</f>
        <v>7.93</v>
      </c>
      <c r="I60" s="342">
        <f>GETPIVOTDATA("dato",'[1]tabla dinámica EM'!$A$58,"categoría","EXTRAHOTELEROS","mes",9,"año",2006)</f>
        <v>8.25</v>
      </c>
      <c r="J60" s="342">
        <f>GETPIVOTDATA("dato",'[1]tabla dinámica EM'!$A$58,"categoría","TOTAL","mes",9,"año",2006)</f>
        <v>8.0500000000000007</v>
      </c>
    </row>
    <row r="61" spans="3:10" hidden="1" outlineLevel="1">
      <c r="C61" s="51" t="s">
        <v>41</v>
      </c>
      <c r="D61" s="342">
        <f>GETPIVOTDATA("dato",'[1]tabla dinámica EM'!$A$58,"categoría","1* y 2 *","mes",8,"año",2006)</f>
        <v>8.2934097421203443</v>
      </c>
      <c r="E61" s="342">
        <f>GETPIVOTDATA("dato",'[1]tabla dinámica EM'!$A$58,"categoría","3 *","mes",8,"año",2006)</f>
        <v>9.66</v>
      </c>
      <c r="F61" s="342">
        <f>GETPIVOTDATA("dato",'[1]tabla dinámica EM'!$A$58,"categoría","4 *","mes",8,"año",2006)</f>
        <v>9.1300000000000008</v>
      </c>
      <c r="G61" s="342">
        <f>GETPIVOTDATA("dato",'[1]tabla dinámica EM'!$A$58,"categoría","5 *","mes",8,"año",2006)</f>
        <v>7.79</v>
      </c>
      <c r="H61" s="342">
        <f>GETPIVOTDATA("dato",'[1]tabla dinámica EM'!$A$58,"categoría","HOTELEROS","mes",8,"año",2006)</f>
        <v>9.0299999999999994</v>
      </c>
      <c r="I61" s="342">
        <f>GETPIVOTDATA("dato",'[1]tabla dinámica EM'!$A$58,"categoría","EXTRAHOTELEROS","mes",8,"año",2006)</f>
        <v>10.33</v>
      </c>
      <c r="J61" s="342">
        <f>GETPIVOTDATA("dato",'[1]tabla dinámica EM'!$A$58,"categoría","TOTAL","mes",8,"año",2006)</f>
        <v>9.52</v>
      </c>
    </row>
    <row r="62" spans="3:10" hidden="1" outlineLevel="1">
      <c r="C62" s="51" t="s">
        <v>42</v>
      </c>
      <c r="D62" s="342">
        <f>GETPIVOTDATA("dato",'[1]tabla dinámica EM'!$A$58,"categoría","1* y 2 *","mes",7,"año",2006)</f>
        <v>10.066716641679161</v>
      </c>
      <c r="E62" s="342">
        <f>GETPIVOTDATA("dato",'[1]tabla dinámica EM'!$A$58,"categoría","3 *","mes",7,"año",2006)</f>
        <v>9.3699999999999992</v>
      </c>
      <c r="F62" s="342">
        <f>GETPIVOTDATA("dato",'[1]tabla dinámica EM'!$A$58,"categoría","4 *","mes",7,"año",2006)</f>
        <v>8.7899999999999991</v>
      </c>
      <c r="G62" s="342">
        <f>GETPIVOTDATA("dato",'[1]tabla dinámica EM'!$A$58,"categoría","5 *","mes",7,"año",2006)</f>
        <v>8.15</v>
      </c>
      <c r="H62" s="342">
        <f>GETPIVOTDATA("dato",'[1]tabla dinámica EM'!$A$58,"categoría","HOTELEROS","mes",7,"año",2006)</f>
        <v>8.84</v>
      </c>
      <c r="I62" s="342">
        <f>GETPIVOTDATA("dato",'[1]tabla dinámica EM'!$A$58,"categoría","EXTRAHOTELEROS","mes",7,"año",2006)</f>
        <v>9.51</v>
      </c>
      <c r="J62" s="342">
        <f>GETPIVOTDATA("dato",'[1]tabla dinámica EM'!$A$58,"categoría","TOTAL","mes",7,"año",2006)</f>
        <v>9.09</v>
      </c>
    </row>
    <row r="63" spans="3:10" hidden="1" outlineLevel="1">
      <c r="C63" s="51" t="s">
        <v>43</v>
      </c>
      <c r="D63" s="342">
        <f>GETPIVOTDATA("dato",'[1]tabla dinámica EM'!$A$58,"categoría","1* y 2 *","mes",6,"año",2006)</f>
        <v>8.2505478451424406</v>
      </c>
      <c r="E63" s="342">
        <f>GETPIVOTDATA("dato",'[1]tabla dinámica EM'!$A$58,"categoría","3 *","mes",6,"año",2006)</f>
        <v>8.7799999999999994</v>
      </c>
      <c r="F63" s="342">
        <f>GETPIVOTDATA("dato",'[1]tabla dinámica EM'!$A$58,"categoría","4 *","mes",6,"año",2006)</f>
        <v>7.76</v>
      </c>
      <c r="G63" s="342">
        <f>GETPIVOTDATA("dato",'[1]tabla dinámica EM'!$A$58,"categoría","5 *","mes",6,"año",2006)</f>
        <v>7.19</v>
      </c>
      <c r="H63" s="342">
        <f>GETPIVOTDATA("dato",'[1]tabla dinámica EM'!$A$58,"categoría","HOTELEROS","mes",6,"año",2006)</f>
        <v>7.88</v>
      </c>
      <c r="I63" s="342">
        <f>GETPIVOTDATA("dato",'[1]tabla dinámica EM'!$A$58,"categoría","EXTRAHOTELEROS","mes",6,"año",2006)</f>
        <v>8.07</v>
      </c>
      <c r="J63" s="342">
        <f>GETPIVOTDATA("dato",'[1]tabla dinámica EM'!$A$58,"categoría","TOTAL","mes",6,"año",2006)</f>
        <v>7.95</v>
      </c>
    </row>
    <row r="64" spans="3:10" hidden="1" outlineLevel="1">
      <c r="C64" s="51" t="s">
        <v>44</v>
      </c>
      <c r="D64" s="342">
        <f>GETPIVOTDATA("dato",'[1]tabla dinámica EM'!$A$58,"categoría","1* y 2 *","mes",5,"año",2006)</f>
        <v>8.2091988130563802</v>
      </c>
      <c r="E64" s="342">
        <f>GETPIVOTDATA("dato",'[1]tabla dinámica EM'!$A$58,"categoría","3 *","mes",5,"año",2006)</f>
        <v>8.7799999999999994</v>
      </c>
      <c r="F64" s="342">
        <f>GETPIVOTDATA("dato",'[1]tabla dinámica EM'!$A$58,"categoría","4 *","mes",5,"año",2006)</f>
        <v>7.85</v>
      </c>
      <c r="G64" s="342">
        <f>GETPIVOTDATA("dato",'[1]tabla dinámica EM'!$A$58,"categoría","5 *","mes",5,"año",2006)</f>
        <v>7.49</v>
      </c>
      <c r="H64" s="342">
        <f>GETPIVOTDATA("dato",'[1]tabla dinámica EM'!$A$58,"categoría","HOTELEROS","mes",5,"año",2006)</f>
        <v>7.99</v>
      </c>
      <c r="I64" s="342">
        <f>GETPIVOTDATA("dato",'[1]tabla dinámica EM'!$A$58,"categoría","EXTRAHOTELEROS","mes",5,"año",2006)</f>
        <v>9.68</v>
      </c>
      <c r="J64" s="342">
        <f>GETPIVOTDATA("dato",'[1]tabla dinámica EM'!$A$58,"categoría","TOTAL","mes",5,"año",2006)</f>
        <v>8.5399999999999991</v>
      </c>
    </row>
    <row r="65" spans="3:10" hidden="1" outlineLevel="1">
      <c r="C65" s="51" t="s">
        <v>45</v>
      </c>
      <c r="D65" s="342">
        <f>GETPIVOTDATA("dato",'[1]tabla dinámica EM'!$A$58,"categoría","1* y 2 *","mes",4,"año",2006)</f>
        <v>8.6091503267973852</v>
      </c>
      <c r="E65" s="342">
        <f>GETPIVOTDATA("dato",'[1]tabla dinámica EM'!$A$58,"categoría","3 *","mes",4,"año",2006)</f>
        <v>8.23</v>
      </c>
      <c r="F65" s="342">
        <f>GETPIVOTDATA("dato",'[1]tabla dinámica EM'!$A$58,"categoría","4 *","mes",4,"año",2006)</f>
        <v>7.5</v>
      </c>
      <c r="G65" s="342">
        <f>GETPIVOTDATA("dato",'[1]tabla dinámica EM'!$A$58,"categoría","5 *","mes",4,"año",2006)</f>
        <v>6.59</v>
      </c>
      <c r="H65" s="342">
        <f>GETPIVOTDATA("dato",'[1]tabla dinámica EM'!$A$58,"categoría","HOTELEROS","mes",4,"año",2006)</f>
        <v>7.53</v>
      </c>
      <c r="I65" s="342">
        <f>GETPIVOTDATA("dato",'[1]tabla dinámica EM'!$A$58,"categoría","EXTRAHOTELEROS","mes",4,"año",2006)</f>
        <v>9.1</v>
      </c>
      <c r="J65" s="342">
        <f>GETPIVOTDATA("dato",'[1]tabla dinámica EM'!$A$58,"categoría","TOTAL","mes",4,"año",2006)</f>
        <v>8.08</v>
      </c>
    </row>
    <row r="66" spans="3:10" hidden="1" outlineLevel="1">
      <c r="C66" s="51" t="s">
        <v>46</v>
      </c>
      <c r="D66" s="342">
        <f>GETPIVOTDATA("dato",'[1]tabla dinámica EM'!$A$58,"categoría","1* y 2 *","mes",3,"año",2006)</f>
        <v>8.0711484593837532</v>
      </c>
      <c r="E66" s="342">
        <f>GETPIVOTDATA("dato",'[1]tabla dinámica EM'!$A$58,"categoría","3 *","mes",3,"año",2006)</f>
        <v>9.75</v>
      </c>
      <c r="F66" s="342">
        <f>GETPIVOTDATA("dato",'[1]tabla dinámica EM'!$A$58,"categoría","4 *","mes",3,"año",2006)</f>
        <v>7.84</v>
      </c>
      <c r="G66" s="342">
        <f>GETPIVOTDATA("dato",'[1]tabla dinámica EM'!$A$58,"categoría","5 *","mes",3,"año",2006)</f>
        <v>7.37</v>
      </c>
      <c r="H66" s="342">
        <f>GETPIVOTDATA("dato",'[1]tabla dinámica EM'!$A$58,"categoría","HOTELEROS","mes",3,"año",2006)</f>
        <v>8.15</v>
      </c>
      <c r="I66" s="342">
        <f>GETPIVOTDATA("dato",'[1]tabla dinámica EM'!$A$58,"categoría","EXTRAHOTELEROS","mes",3,"año",2006)</f>
        <v>9.25</v>
      </c>
      <c r="J66" s="342">
        <f>GETPIVOTDATA("dato",'[1]tabla dinámica EM'!$A$58,"categoría","TOTAL","mes",3,"año",2006)</f>
        <v>8.58</v>
      </c>
    </row>
    <row r="67" spans="3:10" hidden="1" outlineLevel="1">
      <c r="C67" s="51" t="s">
        <v>47</v>
      </c>
      <c r="D67" s="342">
        <f>GETPIVOTDATA("dato",'[1]tabla dinámica EM'!$A$58,"categoría","1* y 2 *","mes",2,"año",2006)</f>
        <v>8.2539954337899548</v>
      </c>
      <c r="E67" s="342">
        <f>GETPIVOTDATA("dato",'[1]tabla dinámica EM'!$A$58,"categoría","3 *","mes",2,"año",2006)</f>
        <v>9.49</v>
      </c>
      <c r="F67" s="342">
        <f>GETPIVOTDATA("dato",'[1]tabla dinámica EM'!$A$58,"categoría","4 *","mes",2,"año",2006)</f>
        <v>8.09</v>
      </c>
      <c r="G67" s="342">
        <f>GETPIVOTDATA("dato",'[1]tabla dinámica EM'!$A$58,"categoría","5 *","mes",2,"año",2006)</f>
        <v>7.3</v>
      </c>
      <c r="H67" s="342">
        <f>GETPIVOTDATA("dato",'[1]tabla dinámica EM'!$A$58,"categoría","HOTELEROS","mes",2,"año",2006)</f>
        <v>8.27</v>
      </c>
      <c r="I67" s="342">
        <f>GETPIVOTDATA("dato",'[1]tabla dinámica EM'!$A$58,"categoría","EXTRAHOTELEROS","mes",2,"año",2006)</f>
        <v>9.59</v>
      </c>
      <c r="J67" s="342">
        <f>GETPIVOTDATA("dato",'[1]tabla dinámica EM'!$A$58,"categoría","TOTAL","mes",2,"año",2006)</f>
        <v>8.7799999999999994</v>
      </c>
    </row>
    <row r="68" spans="3:10" hidden="1" outlineLevel="1">
      <c r="C68" s="51" t="s">
        <v>48</v>
      </c>
      <c r="D68" s="342">
        <f>GETPIVOTDATA("dato",'[1]tabla dinámica EM'!$A$58,"categoría","1* y 2 *","mes",1,"año",2006)</f>
        <v>7.8432073544433099</v>
      </c>
      <c r="E68" s="342">
        <f>GETPIVOTDATA("dato",'[1]tabla dinámica EM'!$A$58,"categoría","3 *","mes",1,"año",2006)</f>
        <v>10.16</v>
      </c>
      <c r="F68" s="342">
        <f>GETPIVOTDATA("dato",'[1]tabla dinámica EM'!$A$58,"categoría","4 *","mes",1,"año",2006)</f>
        <v>8.7200000000000006</v>
      </c>
      <c r="G68" s="342">
        <f>GETPIVOTDATA("dato",'[1]tabla dinámica EM'!$A$58,"categoría","5 *","mes",1,"año",2006)</f>
        <v>9.08</v>
      </c>
      <c r="H68" s="342">
        <f>GETPIVOTDATA("dato",'[1]tabla dinámica EM'!$A$58,"categoría","HOTELEROS","mes",1,"año",2006)</f>
        <v>9.06</v>
      </c>
      <c r="I68" s="342">
        <f>GETPIVOTDATA("dato",'[1]tabla dinámica EM'!$A$58,"categoría","EXTRAHOTELEROS","mes",1,"año",2006)</f>
        <v>10.49</v>
      </c>
      <c r="J68" s="342">
        <f>GETPIVOTDATA("dato",'[1]tabla dinámica EM'!$A$58,"categoría","TOTAL","mes",1,"año",2006)</f>
        <v>9.59</v>
      </c>
    </row>
    <row r="69" spans="3:10" collapsed="1">
      <c r="C69" s="58">
        <v>2006</v>
      </c>
      <c r="D69" s="346">
        <f>'[1]tabla dinámica EM'!B269</f>
        <v>7.7035446264218628</v>
      </c>
      <c r="E69" s="346">
        <f>'[1]tabla dinámica EM'!B282</f>
        <v>9.0572104585095143</v>
      </c>
      <c r="F69" s="346">
        <f>'[1]tabla dinámica EM'!B295</f>
        <v>8.1337315880255456</v>
      </c>
      <c r="G69" s="346">
        <f>'[1]tabla dinámica EM'!B308</f>
        <v>7.2950057248786875</v>
      </c>
      <c r="H69" s="346">
        <f>'[1]tabla dinámica EM'!B334</f>
        <v>8.1833837631524489</v>
      </c>
      <c r="I69" s="346">
        <f>'[1]tabla dinámica EM'!B321</f>
        <v>9.2834166516204757</v>
      </c>
      <c r="J69" s="346">
        <f>'[1]tabla dinámica EM'!B347</f>
        <v>8.5871512085156052</v>
      </c>
    </row>
    <row r="70" spans="3:10" ht="15" customHeight="1">
      <c r="C70" s="166" t="s">
        <v>32</v>
      </c>
      <c r="D70" s="166"/>
      <c r="E70" s="166"/>
      <c r="F70" s="166"/>
      <c r="G70" s="166"/>
      <c r="H70" s="166"/>
      <c r="I70" s="166"/>
      <c r="J70" s="166"/>
    </row>
    <row r="72" spans="3:10" ht="30" customHeight="1"/>
    <row r="74" spans="3:10" ht="30" customHeight="1"/>
  </sheetData>
  <mergeCells count="2">
    <mergeCell ref="C3:J3"/>
    <mergeCell ref="C70:J7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C2:J61"/>
  <sheetViews>
    <sheetView showGridLines="0" showRowColHeaders="0" topLeftCell="C1" zoomScaleNormal="100" workbookViewId="0">
      <selection activeCell="B25" sqref="B25"/>
    </sheetView>
  </sheetViews>
  <sheetFormatPr baseColWidth="10" defaultRowHeight="15" outlineLevelRow="1"/>
  <cols>
    <col min="1" max="1" width="14.28515625" style="121" customWidth="1"/>
    <col min="2" max="8" width="11.42578125" style="121"/>
    <col min="9" max="9" width="14" style="121" customWidth="1"/>
    <col min="10" max="11" width="11.42578125" style="121"/>
    <col min="12" max="12" width="14.28515625" style="121" customWidth="1"/>
    <col min="13" max="16384" width="11.42578125" style="121"/>
  </cols>
  <sheetData>
    <row r="2" spans="3:10" ht="42.75" customHeight="1"/>
    <row r="3" spans="3:10" ht="30" customHeight="1">
      <c r="C3" s="160" t="s">
        <v>278</v>
      </c>
      <c r="D3" s="160"/>
      <c r="E3" s="160"/>
      <c r="F3" s="160"/>
      <c r="G3" s="160"/>
      <c r="H3" s="160"/>
      <c r="I3" s="160"/>
      <c r="J3" s="160"/>
    </row>
    <row r="4" spans="3:10" ht="45" customHeight="1">
      <c r="C4" s="161"/>
      <c r="D4" s="128" t="s">
        <v>260</v>
      </c>
      <c r="E4" s="128" t="s">
        <v>115</v>
      </c>
      <c r="F4" s="128" t="s">
        <v>116</v>
      </c>
      <c r="G4" s="128" t="s">
        <v>117</v>
      </c>
      <c r="H4" s="162" t="s">
        <v>34</v>
      </c>
      <c r="I4" s="162" t="s">
        <v>118</v>
      </c>
      <c r="J4" s="163" t="s">
        <v>36</v>
      </c>
    </row>
    <row r="5" spans="3:10" hidden="1">
      <c r="C5" s="51" t="s">
        <v>37</v>
      </c>
      <c r="D5" s="342">
        <f>IFERROR('tablas evol EM CAT'!D5-'tablas evol EM CAT'!D18,"-")</f>
        <v>-7.7690631808278869</v>
      </c>
      <c r="E5" s="342">
        <f>IFERROR('tablas evol EM CAT'!E5-'tablas evol EM CAT'!E18,"-")</f>
        <v>-8.7933595456531233</v>
      </c>
      <c r="F5" s="342">
        <f>IFERROR('tablas evol EM CAT'!F5-'tablas evol EM CAT'!F18,"-")</f>
        <v>-8.0517777129221102</v>
      </c>
      <c r="G5" s="342">
        <f>IFERROR('tablas evol EM CAT'!G5-'tablas evol EM CAT'!G18,"-")</f>
        <v>-6.8191289496157133</v>
      </c>
      <c r="H5" s="342">
        <f>IFERROR('tablas evol EM CAT'!H5-'tablas evol EM CAT'!H18,"-")</f>
        <v>-7.9972493240860469</v>
      </c>
      <c r="I5" s="342">
        <f>IFERROR('tablas evol EM CAT'!I5-'tablas evol EM CAT'!I18,"-")</f>
        <v>-9.2303682743654658</v>
      </c>
      <c r="J5" s="342">
        <f>IFERROR('tablas evol EM CAT'!J5-'tablas evol EM CAT'!J18,"-")</f>
        <v>-8.4360997327235694</v>
      </c>
    </row>
    <row r="6" spans="3:10" hidden="1">
      <c r="C6" s="51" t="s">
        <v>38</v>
      </c>
      <c r="D6" s="342">
        <f>IFERROR('tablas evol EM CAT'!D6-'tablas evol EM CAT'!D19,"-")</f>
        <v>-8.1043549712407561</v>
      </c>
      <c r="E6" s="342">
        <f>IFERROR('tablas evol EM CAT'!E6-'tablas evol EM CAT'!E19,"-")</f>
        <v>-8.5425560298826042</v>
      </c>
      <c r="F6" s="342">
        <f>IFERROR('tablas evol EM CAT'!F6-'tablas evol EM CAT'!F19,"-")</f>
        <v>-8.1077526816080923</v>
      </c>
      <c r="G6" s="342">
        <f>IFERROR('tablas evol EM CAT'!G6-'tablas evol EM CAT'!G19,"-")</f>
        <v>-8.9561762984026085</v>
      </c>
      <c r="H6" s="342">
        <f>IFERROR('tablas evol EM CAT'!H6-'tablas evol EM CAT'!H19,"-")</f>
        <v>-8.3025929521292152</v>
      </c>
      <c r="I6" s="342">
        <f>IFERROR('tablas evol EM CAT'!I6-'tablas evol EM CAT'!I19,"-")</f>
        <v>-9.4885697925384314</v>
      </c>
      <c r="J6" s="342">
        <f>IFERROR('tablas evol EM CAT'!J6-'tablas evol EM CAT'!J19,"-")</f>
        <v>-8.7139572368169773</v>
      </c>
    </row>
    <row r="7" spans="3:10" hidden="1">
      <c r="C7" s="51" t="s">
        <v>39</v>
      </c>
      <c r="D7" s="342">
        <f>IFERROR('tablas evol EM CAT'!D7-'tablas evol EM CAT'!D20,"-")</f>
        <v>-6.7142857142857144</v>
      </c>
      <c r="E7" s="342">
        <f>IFERROR('tablas evol EM CAT'!E7-'tablas evol EM CAT'!E20,"-")</f>
        <v>-7.9104573073233126</v>
      </c>
      <c r="F7" s="342">
        <f>IFERROR('tablas evol EM CAT'!F7-'tablas evol EM CAT'!F20,"-")</f>
        <v>-7.3968956208758252</v>
      </c>
      <c r="G7" s="342">
        <f>IFERROR('tablas evol EM CAT'!G7-'tablas evol EM CAT'!G20,"-")</f>
        <v>-7.2253002283946071</v>
      </c>
      <c r="H7" s="342">
        <f>IFERROR('tablas evol EM CAT'!H7-'tablas evol EM CAT'!H20,"-")</f>
        <v>-7.431350649903206</v>
      </c>
      <c r="I7" s="342">
        <f>IFERROR('tablas evol EM CAT'!I7-'tablas evol EM CAT'!I20,"-")</f>
        <v>-7.7858367092552196</v>
      </c>
      <c r="J7" s="342">
        <f>IFERROR('tablas evol EM CAT'!J7-'tablas evol EM CAT'!J20,"-")</f>
        <v>-7.5565637942184125</v>
      </c>
    </row>
    <row r="8" spans="3:10" hidden="1">
      <c r="C8" s="51" t="s">
        <v>40</v>
      </c>
      <c r="D8" s="342">
        <f>IFERROR('tablas evol EM CAT'!D8-'tablas evol EM CAT'!D21,"-")</f>
        <v>-6.8771251931993822</v>
      </c>
      <c r="E8" s="342">
        <f>IFERROR('tablas evol EM CAT'!E8-'tablas evol EM CAT'!E21,"-")</f>
        <v>-8.9600000000000009</v>
      </c>
      <c r="F8" s="342">
        <f>IFERROR('tablas evol EM CAT'!F8-'tablas evol EM CAT'!F21,"-")</f>
        <v>-8.19</v>
      </c>
      <c r="G8" s="342">
        <f>IFERROR('tablas evol EM CAT'!G8-'tablas evol EM CAT'!G21,"-")</f>
        <v>-8.68</v>
      </c>
      <c r="H8" s="342">
        <f>IFERROR('tablas evol EM CAT'!H8-'tablas evol EM CAT'!H21,"-")</f>
        <v>-8.33</v>
      </c>
      <c r="I8" s="342">
        <f>IFERROR('tablas evol EM CAT'!I8-'tablas evol EM CAT'!I21,"-")</f>
        <v>-8.76</v>
      </c>
      <c r="J8" s="342">
        <f>IFERROR('tablas evol EM CAT'!J8-'tablas evol EM CAT'!J21,"-")</f>
        <v>-8.49</v>
      </c>
    </row>
    <row r="9" spans="3:10" hidden="1">
      <c r="C9" s="51" t="s">
        <v>41</v>
      </c>
      <c r="D9" s="342">
        <f>IFERROR('tablas evol EM CAT'!D9-'tablas evol EM CAT'!D22,"-")</f>
        <v>-7.4554597701149428</v>
      </c>
      <c r="E9" s="342">
        <f>IFERROR('tablas evol EM CAT'!E9-'tablas evol EM CAT'!E22,"-")</f>
        <v>-9.1</v>
      </c>
      <c r="F9" s="342">
        <f>IFERROR('tablas evol EM CAT'!F9-'tablas evol EM CAT'!F22,"-")</f>
        <v>-8.0500000000000007</v>
      </c>
      <c r="G9" s="342">
        <f>IFERROR('tablas evol EM CAT'!G9-'tablas evol EM CAT'!G22,"-")</f>
        <v>-7.24</v>
      </c>
      <c r="H9" s="342">
        <f>IFERROR('tablas evol EM CAT'!H9-'tablas evol EM CAT'!H22,"-")</f>
        <v>-8.09</v>
      </c>
      <c r="I9" s="342">
        <f>IFERROR('tablas evol EM CAT'!I9-'tablas evol EM CAT'!I22,"-")</f>
        <v>-8.39</v>
      </c>
      <c r="J9" s="342">
        <f>IFERROR('tablas evol EM CAT'!J9-'tablas evol EM CAT'!J22,"-")</f>
        <v>-8.1999999999999993</v>
      </c>
    </row>
    <row r="10" spans="3:10">
      <c r="C10" s="51" t="s">
        <v>42</v>
      </c>
      <c r="D10" s="342">
        <f>IFERROR('tablas evol EM CAT'!D10-'tablas evol EM CAT'!D23,"-")</f>
        <v>-0.26429883826504774</v>
      </c>
      <c r="E10" s="342">
        <f>IFERROR('tablas evol EM CAT'!E10-'tablas evol EM CAT'!E23,"-")</f>
        <v>-0.77406258731489253</v>
      </c>
      <c r="F10" s="342">
        <f>IFERROR('tablas evol EM CAT'!F10-'tablas evol EM CAT'!F23,"-")</f>
        <v>0.10984272964736697</v>
      </c>
      <c r="G10" s="342">
        <f>IFERROR('tablas evol EM CAT'!G10-'tablas evol EM CAT'!G23,"-")</f>
        <v>0.22928019194881433</v>
      </c>
      <c r="H10" s="342">
        <f>IFERROR('tablas evol EM CAT'!H10-'tablas evol EM CAT'!H23,"-")</f>
        <v>-2.6345078166085223E-2</v>
      </c>
      <c r="I10" s="342">
        <f>IFERROR('tablas evol EM CAT'!I10-'tablas evol EM CAT'!I23,"-")</f>
        <v>-0.14811213554247615</v>
      </c>
      <c r="J10" s="342">
        <f>IFERROR('tablas evol EM CAT'!J10-'tablas evol EM CAT'!J23,"-")</f>
        <v>-7.3801164221312554E-2</v>
      </c>
    </row>
    <row r="11" spans="3:10">
      <c r="C11" s="51" t="s">
        <v>43</v>
      </c>
      <c r="D11" s="342">
        <f>IFERROR('tablas evol EM CAT'!D11-'tablas evol EM CAT'!D24,"-")</f>
        <v>-0.20526287358376738</v>
      </c>
      <c r="E11" s="342">
        <f>IFERROR('tablas evol EM CAT'!E11-'tablas evol EM CAT'!E24,"-")</f>
        <v>-1.4721598299072962</v>
      </c>
      <c r="F11" s="342">
        <f>IFERROR('tablas evol EM CAT'!F11-'tablas evol EM CAT'!F24,"-")</f>
        <v>-6.9205510997482733E-2</v>
      </c>
      <c r="G11" s="342">
        <f>IFERROR('tablas evol EM CAT'!G11-'tablas evol EM CAT'!G24,"-")</f>
        <v>0.63435255321609851</v>
      </c>
      <c r="H11" s="342">
        <f>IFERROR('tablas evol EM CAT'!H11-'tablas evol EM CAT'!H24,"-")</f>
        <v>-0.21703260790775136</v>
      </c>
      <c r="I11" s="342">
        <f>IFERROR('tablas evol EM CAT'!I11-'tablas evol EM CAT'!I24,"-")</f>
        <v>-0.29692533274538846</v>
      </c>
      <c r="J11" s="342">
        <f>IFERROR('tablas evol EM CAT'!J11-'tablas evol EM CAT'!J24,"-")</f>
        <v>-0.25224997276931393</v>
      </c>
    </row>
    <row r="12" spans="3:10">
      <c r="C12" s="51" t="s">
        <v>44</v>
      </c>
      <c r="D12" s="342">
        <f>IFERROR('tablas evol EM CAT'!D12-'tablas evol EM CAT'!D25,"-")</f>
        <v>-0.24143602678117571</v>
      </c>
      <c r="E12" s="342">
        <f>IFERROR('tablas evol EM CAT'!E12-'tablas evol EM CAT'!E25,"-")</f>
        <v>-0.63896938013442917</v>
      </c>
      <c r="F12" s="342">
        <f>IFERROR('tablas evol EM CAT'!F12-'tablas evol EM CAT'!F25,"-")</f>
        <v>0.15695046811234725</v>
      </c>
      <c r="G12" s="342">
        <f>IFERROR('tablas evol EM CAT'!G12-'tablas evol EM CAT'!G25,"-")</f>
        <v>-0.74275825496712145</v>
      </c>
      <c r="H12" s="342">
        <f>IFERROR('tablas evol EM CAT'!H12-'tablas evol EM CAT'!H25,"-")</f>
        <v>-0.10496761658031062</v>
      </c>
      <c r="I12" s="342">
        <f>IFERROR('tablas evol EM CAT'!I12-'tablas evol EM CAT'!I25,"-")</f>
        <v>1.1269590511297167E-2</v>
      </c>
      <c r="J12" s="342">
        <f>IFERROR('tablas evol EM CAT'!J12-'tablas evol EM CAT'!J25,"-")</f>
        <v>-9.1974132011259258E-2</v>
      </c>
    </row>
    <row r="13" spans="3:10">
      <c r="C13" s="51" t="s">
        <v>45</v>
      </c>
      <c r="D13" s="342">
        <f>IFERROR('tablas evol EM CAT'!D13-'tablas evol EM CAT'!D26,"-")</f>
        <v>-1.1731189290264927</v>
      </c>
      <c r="E13" s="342">
        <f>IFERROR('tablas evol EM CAT'!E13-'tablas evol EM CAT'!E26,"-")</f>
        <v>-0.89260670026712408</v>
      </c>
      <c r="F13" s="342">
        <f>IFERROR('tablas evol EM CAT'!F13-'tablas evol EM CAT'!F26,"-")</f>
        <v>-0.96427505652447909</v>
      </c>
      <c r="G13" s="342">
        <f>IFERROR('tablas evol EM CAT'!G13-'tablas evol EM CAT'!G26,"-")</f>
        <v>-0.20000426682743377</v>
      </c>
      <c r="H13" s="342">
        <f>IFERROR('tablas evol EM CAT'!H13-'tablas evol EM CAT'!H26,"-")</f>
        <v>-0.85207448467870783</v>
      </c>
      <c r="I13" s="342">
        <f>IFERROR('tablas evol EM CAT'!I13-'tablas evol EM CAT'!I26,"-")</f>
        <v>-1.0247522892764147</v>
      </c>
      <c r="J13" s="342">
        <f>IFERROR('tablas evol EM CAT'!J13-'tablas evol EM CAT'!J26,"-")</f>
        <v>-0.92277302976878062</v>
      </c>
    </row>
    <row r="14" spans="3:10">
      <c r="C14" s="51" t="s">
        <v>46</v>
      </c>
      <c r="D14" s="342">
        <f>IFERROR('tablas evol EM CAT'!D14-'tablas evol EM CAT'!D27,"-")</f>
        <v>1.3408385093167698</v>
      </c>
      <c r="E14" s="342">
        <f>IFERROR('tablas evol EM CAT'!E14-'tablas evol EM CAT'!E27,"-")</f>
        <v>0.11382406594149153</v>
      </c>
      <c r="F14" s="342">
        <f>IFERROR('tablas evol EM CAT'!F14-'tablas evol EM CAT'!F27,"-")</f>
        <v>-0.58359326834957859</v>
      </c>
      <c r="G14" s="342">
        <f>IFERROR('tablas evol EM CAT'!G14-'tablas evol EM CAT'!G27,"-")</f>
        <v>-0.45411439624205574</v>
      </c>
      <c r="H14" s="342">
        <f>IFERROR('tablas evol EM CAT'!H14-'tablas evol EM CAT'!H27,"-")</f>
        <v>-0.44097372488408126</v>
      </c>
      <c r="I14" s="342">
        <f>IFERROR('tablas evol EM CAT'!I14-'tablas evol EM CAT'!I27,"-")</f>
        <v>-0.46020342117429536</v>
      </c>
      <c r="J14" s="342">
        <f>IFERROR('tablas evol EM CAT'!J14-'tablas evol EM CAT'!J27,"-")</f>
        <v>-0.45882554568193257</v>
      </c>
    </row>
    <row r="15" spans="3:10">
      <c r="C15" s="51" t="s">
        <v>47</v>
      </c>
      <c r="D15" s="342">
        <f>IFERROR('tablas evol EM CAT'!D15-'tablas evol EM CAT'!D28,"-")</f>
        <v>0.95612595308771287</v>
      </c>
      <c r="E15" s="342">
        <f>IFERROR('tablas evol EM CAT'!E15-'tablas evol EM CAT'!E28,"-")</f>
        <v>0.35000000000000142</v>
      </c>
      <c r="F15" s="342">
        <f>IFERROR('tablas evol EM CAT'!F15-'tablas evol EM CAT'!F28,"-")</f>
        <v>0.16999999999999993</v>
      </c>
      <c r="G15" s="342">
        <f>IFERROR('tablas evol EM CAT'!G15-'tablas evol EM CAT'!G28,"-")</f>
        <v>0.37999999999999989</v>
      </c>
      <c r="H15" s="342">
        <f>IFERROR('tablas evol EM CAT'!H15-'tablas evol EM CAT'!H28,"-")</f>
        <v>0.20999999999999996</v>
      </c>
      <c r="I15" s="342">
        <f>IFERROR('tablas evol EM CAT'!I15-'tablas evol EM CAT'!I28,"-")</f>
        <v>0.66999999999999993</v>
      </c>
      <c r="J15" s="342">
        <f>IFERROR('tablas evol EM CAT'!J15-'tablas evol EM CAT'!J28,"-")</f>
        <v>0.33000000000000007</v>
      </c>
    </row>
    <row r="16" spans="3:10">
      <c r="C16" s="51" t="s">
        <v>48</v>
      </c>
      <c r="D16" s="342">
        <f>IFERROR('tablas evol EM CAT'!D16-'tablas evol EM CAT'!D29,"-")</f>
        <v>-0.90503045409172689</v>
      </c>
      <c r="E16" s="342">
        <f>IFERROR('tablas evol EM CAT'!E16-'tablas evol EM CAT'!E29,"-")</f>
        <v>-0.19000000000000128</v>
      </c>
      <c r="F16" s="342">
        <f>IFERROR('tablas evol EM CAT'!F16-'tablas evol EM CAT'!F29,"-")</f>
        <v>-0.5</v>
      </c>
      <c r="G16" s="342">
        <f>IFERROR('tablas evol EM CAT'!G16-'tablas evol EM CAT'!G29,"-")</f>
        <v>-1.4399999999999995</v>
      </c>
      <c r="H16" s="342">
        <f>IFERROR('tablas evol EM CAT'!H16-'tablas evol EM CAT'!H29,"-")</f>
        <v>-0.58999999999999986</v>
      </c>
      <c r="I16" s="342">
        <f>IFERROR('tablas evol EM CAT'!I16-'tablas evol EM CAT'!I29,"-")</f>
        <v>0.33000000000000007</v>
      </c>
      <c r="J16" s="342">
        <f>IFERROR('tablas evol EM CAT'!J16-'tablas evol EM CAT'!J29,"-")</f>
        <v>-0.27999999999999936</v>
      </c>
    </row>
    <row r="17" spans="3:10" ht="30">
      <c r="C17" s="69" t="s">
        <v>54</v>
      </c>
      <c r="D17" s="389">
        <f>'[1]tabla dinámica municipios'!$M$298-'[1]tabla dinámica municipios'!$C$298</f>
        <v>-0.12197288762252523</v>
      </c>
      <c r="E17" s="389">
        <f>'[1]tabla dinámica municipios'!$O$298-'[1]tabla dinámica municipios'!$E$298</f>
        <v>-0.50907925269371823</v>
      </c>
      <c r="F17" s="389">
        <f>'[1]tabla dinámica municipios'!$P$298-'[1]tabla dinámica municipios'!$F$298</f>
        <v>-0.25386790022704453</v>
      </c>
      <c r="G17" s="389">
        <f>'[1]tabla dinámica municipios'!$R$298-'[1]tabla dinámica municipios'!$H$298</f>
        <v>-0.22060170080688124</v>
      </c>
      <c r="H17" s="389">
        <f>'[1]tabla dinámica municipios'!$T$298-'[1]tabla dinámica municipios'!$J$298</f>
        <v>-0.31285448314222908</v>
      </c>
      <c r="I17" s="389">
        <f>'[1]tabla dinámica municipios'!$S$298-'[1]tabla dinámica municipios'!$I$298</f>
        <v>-0.19438628308171246</v>
      </c>
      <c r="J17" s="389">
        <f>'[1]tabla dinámica municipios'!$U$298-'[1]tabla dinámica municipios'!$K$298</f>
        <v>-0.28697118486819306</v>
      </c>
    </row>
    <row r="18" spans="3:10" hidden="1" outlineLevel="1">
      <c r="C18" s="51" t="s">
        <v>37</v>
      </c>
      <c r="D18" s="342">
        <f>IFERROR('tablas evol EM CAT'!D18-'tablas evol EM CAT'!D31,"-")</f>
        <v>-0.32644533749942362</v>
      </c>
      <c r="E18" s="342">
        <f>IFERROR('tablas evol EM CAT'!E18-'tablas evol EM CAT'!E31,"-")</f>
        <v>-0.18664045434687715</v>
      </c>
      <c r="F18" s="342">
        <f>IFERROR('tablas evol EM CAT'!F18-'tablas evol EM CAT'!F31,"-")</f>
        <v>-0.4482222870778898</v>
      </c>
      <c r="G18" s="342">
        <f>IFERROR('tablas evol EM CAT'!G18-'tablas evol EM CAT'!G31,"-")</f>
        <v>-0.94087105038428653</v>
      </c>
      <c r="H18" s="342">
        <f>IFERROR('tablas evol EM CAT'!H18-'tablas evol EM CAT'!H31,"-")</f>
        <v>-0.50275067591395306</v>
      </c>
      <c r="I18" s="342">
        <f>IFERROR('tablas evol EM CAT'!I18-'tablas evol EM CAT'!I31,"-")</f>
        <v>0.33036827436546545</v>
      </c>
      <c r="J18" s="342">
        <f>IFERROR('tablas evol EM CAT'!J18-'tablas evol EM CAT'!J31,"-")</f>
        <v>-0.21390026727643097</v>
      </c>
    </row>
    <row r="19" spans="3:10" hidden="1" outlineLevel="1">
      <c r="C19" s="51" t="s">
        <v>38</v>
      </c>
      <c r="D19" s="342">
        <f>IFERROR('tablas evol EM CAT'!D19-'tablas evol EM CAT'!D32,"-")</f>
        <v>0.69548271041766707</v>
      </c>
      <c r="E19" s="342">
        <f>IFERROR('tablas evol EM CAT'!E19-'tablas evol EM CAT'!E32,"-")</f>
        <v>-0.31744397011739522</v>
      </c>
      <c r="F19" s="342">
        <f>IFERROR('tablas evol EM CAT'!F19-'tablas evol EM CAT'!F32,"-")</f>
        <v>-0.19224731839190845</v>
      </c>
      <c r="G19" s="342">
        <f>IFERROR('tablas evol EM CAT'!G19-'tablas evol EM CAT'!G32,"-")</f>
        <v>1.1161762984026087</v>
      </c>
      <c r="H19" s="342">
        <f>IFERROR('tablas evol EM CAT'!H19-'tablas evol EM CAT'!H32,"-")</f>
        <v>-3.7407047870784638E-2</v>
      </c>
      <c r="I19" s="342">
        <f>IFERROR('tablas evol EM CAT'!I19-'tablas evol EM CAT'!I32,"-")</f>
        <v>0.90856979253843129</v>
      </c>
      <c r="J19" s="342">
        <f>IFERROR('tablas evol EM CAT'!J19-'tablas evol EM CAT'!J32,"-")</f>
        <v>0.2839572368169776</v>
      </c>
    </row>
    <row r="20" spans="3:10" hidden="1" outlineLevel="1">
      <c r="C20" s="51" t="s">
        <v>39</v>
      </c>
      <c r="D20" s="342">
        <f>IFERROR('tablas evol EM CAT'!D20-'tablas evol EM CAT'!D33,"-")</f>
        <v>-0.15509227614490761</v>
      </c>
      <c r="E20" s="342">
        <f>IFERROR('tablas evol EM CAT'!E20-'tablas evol EM CAT'!E33,"-")</f>
        <v>-0.56954269267668778</v>
      </c>
      <c r="F20" s="342">
        <f>IFERROR('tablas evol EM CAT'!F20-'tablas evol EM CAT'!F33,"-")</f>
        <v>-0.44310437912417466</v>
      </c>
      <c r="G20" s="342">
        <f>IFERROR('tablas evol EM CAT'!G20-'tablas evol EM CAT'!G33,"-")</f>
        <v>-0.91469977160539351</v>
      </c>
      <c r="H20" s="342">
        <f>IFERROR('tablas evol EM CAT'!H20-'tablas evol EM CAT'!H33,"-")</f>
        <v>-0.55864935009679417</v>
      </c>
      <c r="I20" s="342">
        <f>IFERROR('tablas evol EM CAT'!I20-'tablas evol EM CAT'!I33,"-")</f>
        <v>-0.27416329074478085</v>
      </c>
      <c r="J20" s="342">
        <f>IFERROR('tablas evol EM CAT'!J20-'tablas evol EM CAT'!J33,"-")</f>
        <v>-0.46343620578158706</v>
      </c>
    </row>
    <row r="21" spans="3:10" hidden="1" outlineLevel="1">
      <c r="C21" s="51" t="s">
        <v>40</v>
      </c>
      <c r="D21" s="342">
        <f>IFERROR('tablas evol EM CAT'!D21-'tablas evol EM CAT'!D34,"-")</f>
        <v>-0.66319738744577883</v>
      </c>
      <c r="E21" s="342">
        <f>IFERROR('tablas evol EM CAT'!E21-'tablas evol EM CAT'!E34,"-")</f>
        <v>-0.42999999999999972</v>
      </c>
      <c r="F21" s="342">
        <f>IFERROR('tablas evol EM CAT'!F21-'tablas evol EM CAT'!F34,"-")</f>
        <v>-0.21000000000000085</v>
      </c>
      <c r="G21" s="342">
        <f>IFERROR('tablas evol EM CAT'!G21-'tablas evol EM CAT'!G34,"-")</f>
        <v>-0.35999999999999943</v>
      </c>
      <c r="H21" s="342">
        <f>IFERROR('tablas evol EM CAT'!H21-'tablas evol EM CAT'!H34,"-")</f>
        <v>-0.30000000000000071</v>
      </c>
      <c r="I21" s="342">
        <f>IFERROR('tablas evol EM CAT'!I21-'tablas evol EM CAT'!I34,"-")</f>
        <v>9.9999999999997868E-3</v>
      </c>
      <c r="J21" s="342">
        <f>IFERROR('tablas evol EM CAT'!J21-'tablas evol EM CAT'!J34,"-")</f>
        <v>-0.1899999999999995</v>
      </c>
    </row>
    <row r="22" spans="3:10" hidden="1" outlineLevel="1">
      <c r="C22" s="51" t="s">
        <v>41</v>
      </c>
      <c r="D22" s="342">
        <f>IFERROR('tablas evol EM CAT'!D22-'tablas evol EM CAT'!D35,"-")</f>
        <v>0.48914689517262655</v>
      </c>
      <c r="E22" s="342">
        <f>IFERROR('tablas evol EM CAT'!E22-'tablas evol EM CAT'!E35,"-")</f>
        <v>0.46999999999999886</v>
      </c>
      <c r="F22" s="342">
        <f>IFERROR('tablas evol EM CAT'!F22-'tablas evol EM CAT'!F35,"-")</f>
        <v>-0.14999999999999858</v>
      </c>
      <c r="G22" s="342">
        <f>IFERROR('tablas evol EM CAT'!G22-'tablas evol EM CAT'!G35,"-")</f>
        <v>-1.1899999999999995</v>
      </c>
      <c r="H22" s="342">
        <f>IFERROR('tablas evol EM CAT'!H22-'tablas evol EM CAT'!H35,"-")</f>
        <v>-0.19999999999999929</v>
      </c>
      <c r="I22" s="342">
        <f>IFERROR('tablas evol EM CAT'!I22-'tablas evol EM CAT'!I35,"-")</f>
        <v>-0.44999999999999929</v>
      </c>
      <c r="J22" s="342">
        <f>IFERROR('tablas evol EM CAT'!J22-'tablas evol EM CAT'!J35,"-")</f>
        <v>-0.3100000000000005</v>
      </c>
    </row>
    <row r="23" spans="3:10" hidden="1" outlineLevel="1">
      <c r="C23" s="51" t="s">
        <v>42</v>
      </c>
      <c r="D23" s="342">
        <f>IFERROR('tablas evol EM CAT'!D23-'tablas evol EM CAT'!D36,"-")</f>
        <v>-1.8784416171744676</v>
      </c>
      <c r="E23" s="342">
        <f>IFERROR('tablas evol EM CAT'!E23-'tablas evol EM CAT'!E36,"-")</f>
        <v>-0.58999999999999986</v>
      </c>
      <c r="F23" s="342">
        <f>IFERROR('tablas evol EM CAT'!F23-'tablas evol EM CAT'!F36,"-")</f>
        <v>-1.3000000000000007</v>
      </c>
      <c r="G23" s="342">
        <f>IFERROR('tablas evol EM CAT'!G23-'tablas evol EM CAT'!G36,"-")</f>
        <v>-1.0200000000000005</v>
      </c>
      <c r="H23" s="342">
        <f>IFERROR('tablas evol EM CAT'!H23-'tablas evol EM CAT'!H36,"-")</f>
        <v>-1.1399999999999988</v>
      </c>
      <c r="I23" s="342">
        <f>IFERROR('tablas evol EM CAT'!I23-'tablas evol EM CAT'!I36,"-")</f>
        <v>-1.3099999999999987</v>
      </c>
      <c r="J23" s="342">
        <f>IFERROR('tablas evol EM CAT'!J23-'tablas evol EM CAT'!J36,"-")</f>
        <v>-1.1999999999999993</v>
      </c>
    </row>
    <row r="24" spans="3:10" hidden="1" outlineLevel="1">
      <c r="C24" s="51" t="s">
        <v>43</v>
      </c>
      <c r="D24" s="342">
        <f>IFERROR('tablas evol EM CAT'!D24-'tablas evol EM CAT'!D37,"-")</f>
        <v>-1.4820454529540683</v>
      </c>
      <c r="E24" s="342">
        <f>IFERROR('tablas evol EM CAT'!E24-'tablas evol EM CAT'!E37,"-")</f>
        <v>0.27533893105843887</v>
      </c>
      <c r="F24" s="342">
        <f>IFERROR('tablas evol EM CAT'!F24-'tablas evol EM CAT'!F37,"-")</f>
        <v>1.2858401055245494E-2</v>
      </c>
      <c r="G24" s="342">
        <f>IFERROR('tablas evol EM CAT'!G24-'tablas evol EM CAT'!G37,"-")</f>
        <v>-0.74640542228421491</v>
      </c>
      <c r="H24" s="342">
        <f>IFERROR('tablas evol EM CAT'!H24-'tablas evol EM CAT'!H37,"-")</f>
        <v>-7.6215275168458163E-2</v>
      </c>
      <c r="I24" s="342">
        <f>IFERROR('tablas evol EM CAT'!I24-'tablas evol EM CAT'!I37,"-")</f>
        <v>-0.88575159465639786</v>
      </c>
      <c r="J24" s="342">
        <f>IFERROR('tablas evol EM CAT'!J24-'tablas evol EM CAT'!J37,"-")</f>
        <v>-0.32567713181807001</v>
      </c>
    </row>
    <row r="25" spans="3:10" hidden="1" outlineLevel="1">
      <c r="C25" s="51" t="s">
        <v>44</v>
      </c>
      <c r="D25" s="342">
        <f>IFERROR('tablas evol EM CAT'!D25-'tablas evol EM CAT'!D38,"-")</f>
        <v>-0.38075672335858979</v>
      </c>
      <c r="E25" s="342">
        <f>IFERROR('tablas evol EM CAT'!E25-'tablas evol EM CAT'!E38,"-")</f>
        <v>-0.61999999999999922</v>
      </c>
      <c r="F25" s="342">
        <f>IFERROR('tablas evol EM CAT'!F25-'tablas evol EM CAT'!F38,"-")</f>
        <v>-0.40000000000000036</v>
      </c>
      <c r="G25" s="342">
        <f>IFERROR('tablas evol EM CAT'!G25-'tablas evol EM CAT'!G38,"-")</f>
        <v>-0.15000000000000036</v>
      </c>
      <c r="H25" s="342">
        <f>IFERROR('tablas evol EM CAT'!H25-'tablas evol EM CAT'!H38,"-")</f>
        <v>-0.45000000000000018</v>
      </c>
      <c r="I25" s="342">
        <f>IFERROR('tablas evol EM CAT'!I25-'tablas evol EM CAT'!I38,"-")</f>
        <v>-0.70000000000000107</v>
      </c>
      <c r="J25" s="342">
        <f>IFERROR('tablas evol EM CAT'!J25-'tablas evol EM CAT'!J38,"-")</f>
        <v>-0.54</v>
      </c>
    </row>
    <row r="26" spans="3:10" hidden="1" outlineLevel="1">
      <c r="C26" s="51" t="s">
        <v>45</v>
      </c>
      <c r="D26" s="342">
        <f>IFERROR('tablas evol EM CAT'!D26-'tablas evol EM CAT'!D39,"-")</f>
        <v>-0.9307533189690016</v>
      </c>
      <c r="E26" s="342">
        <f>IFERROR('tablas evol EM CAT'!E26-'tablas evol EM CAT'!E39,"-")</f>
        <v>-1.0102192470674947</v>
      </c>
      <c r="F26" s="342">
        <f>IFERROR('tablas evol EM CAT'!F26-'tablas evol EM CAT'!F39,"-")</f>
        <v>-0.69622005529526643</v>
      </c>
      <c r="G26" s="342">
        <f>IFERROR('tablas evol EM CAT'!G26-'tablas evol EM CAT'!G39,"-")</f>
        <v>-0.67312977099236626</v>
      </c>
      <c r="H26" s="342">
        <f>IFERROR('tablas evol EM CAT'!H26-'tablas evol EM CAT'!H39,"-")</f>
        <v>-0.75215658737821478</v>
      </c>
      <c r="I26" s="342">
        <f>IFERROR('tablas evol EM CAT'!I26-'tablas evol EM CAT'!I39,"-")</f>
        <v>-1.0992060983366425</v>
      </c>
      <c r="J26" s="342">
        <f>IFERROR('tablas evol EM CAT'!J26-'tablas evol EM CAT'!J39,"-")</f>
        <v>-0.85069147783285715</v>
      </c>
    </row>
    <row r="27" spans="3:10" hidden="1" outlineLevel="1">
      <c r="C27" s="51" t="s">
        <v>46</v>
      </c>
      <c r="D27" s="342">
        <f>IFERROR('tablas evol EM CAT'!D27-'tablas evol EM CAT'!D40,"-")</f>
        <v>-6.0051911278905301E-2</v>
      </c>
      <c r="E27" s="342">
        <f>IFERROR('tablas evol EM CAT'!E27-'tablas evol EM CAT'!E40,"-")</f>
        <v>-6.0000000000000497E-2</v>
      </c>
      <c r="F27" s="342">
        <f>IFERROR('tablas evol EM CAT'!F27-'tablas evol EM CAT'!F40,"-")</f>
        <v>0.63999999999999879</v>
      </c>
      <c r="G27" s="342">
        <f>IFERROR('tablas evol EM CAT'!G27-'tablas evol EM CAT'!G40,"-")</f>
        <v>-0.16999999999999993</v>
      </c>
      <c r="H27" s="342">
        <f>IFERROR('tablas evol EM CAT'!H27-'tablas evol EM CAT'!H40,"-")</f>
        <v>0.37000000000000099</v>
      </c>
      <c r="I27" s="342">
        <f>IFERROR('tablas evol EM CAT'!I27-'tablas evol EM CAT'!I40,"-")</f>
        <v>0.25</v>
      </c>
      <c r="J27" s="342">
        <f>IFERROR('tablas evol EM CAT'!J27-'tablas evol EM CAT'!J40,"-")</f>
        <v>0.33999999999999986</v>
      </c>
    </row>
    <row r="28" spans="3:10" hidden="1" outlineLevel="1">
      <c r="C28" s="51" t="s">
        <v>47</v>
      </c>
      <c r="D28" s="342">
        <f>IFERROR('tablas evol EM CAT'!D28-'tablas evol EM CAT'!D41,"-")</f>
        <v>0.96273857606715829</v>
      </c>
      <c r="E28" s="342">
        <f>IFERROR('tablas evol EM CAT'!E28-'tablas evol EM CAT'!E41,"-")</f>
        <v>-0.44000000000000128</v>
      </c>
      <c r="F28" s="342">
        <f>IFERROR('tablas evol EM CAT'!F28-'tablas evol EM CAT'!F41,"-")</f>
        <v>4.0000000000000036E-2</v>
      </c>
      <c r="G28" s="342">
        <f>IFERROR('tablas evol EM CAT'!G28-'tablas evol EM CAT'!G41,"-")</f>
        <v>-0.82999999999999918</v>
      </c>
      <c r="H28" s="342">
        <f>IFERROR('tablas evol EM CAT'!H28-'tablas evol EM CAT'!H41,"-")</f>
        <v>-0.17999999999999972</v>
      </c>
      <c r="I28" s="342">
        <f>IFERROR('tablas evol EM CAT'!I28-'tablas evol EM CAT'!I41,"-")</f>
        <v>0.26999999999999957</v>
      </c>
      <c r="J28" s="342">
        <f>IFERROR('tablas evol EM CAT'!J28-'tablas evol EM CAT'!J41,"-")</f>
        <v>-1.0000000000001563E-2</v>
      </c>
    </row>
    <row r="29" spans="3:10" hidden="1" outlineLevel="1">
      <c r="C29" s="51" t="s">
        <v>48</v>
      </c>
      <c r="D29" s="342">
        <f>IFERROR('tablas evol EM CAT'!D29-'tablas evol EM CAT'!D42,"-")</f>
        <v>-0.89080161890686149</v>
      </c>
      <c r="E29" s="342">
        <f>IFERROR('tablas evol EM CAT'!E29-'tablas evol EM CAT'!E42,"-")</f>
        <v>-0.41999999999999993</v>
      </c>
      <c r="F29" s="342">
        <f>IFERROR('tablas evol EM CAT'!F29-'tablas evol EM CAT'!F42,"-")</f>
        <v>-0.53999999999999915</v>
      </c>
      <c r="G29" s="342">
        <f>IFERROR('tablas evol EM CAT'!G29-'tablas evol EM CAT'!G42,"-")</f>
        <v>-0.33999999999999986</v>
      </c>
      <c r="H29" s="342">
        <f>IFERROR('tablas evol EM CAT'!H29-'tablas evol EM CAT'!H42,"-")</f>
        <v>-0.49000000000000021</v>
      </c>
      <c r="I29" s="342">
        <f>IFERROR('tablas evol EM CAT'!I29-'tablas evol EM CAT'!I42,"-")</f>
        <v>-1.1900000000000013</v>
      </c>
      <c r="J29" s="342">
        <f>IFERROR('tablas evol EM CAT'!J29-'tablas evol EM CAT'!J42,"-")</f>
        <v>-0.74000000000000021</v>
      </c>
    </row>
    <row r="30" spans="3:10" collapsed="1">
      <c r="C30" s="56">
        <v>2009</v>
      </c>
      <c r="D30" s="345">
        <f>IFERROR('tablas evol EM CAT'!D30-'tablas evol EM CAT'!D43,"-")</f>
        <v>-0.34728033101995681</v>
      </c>
      <c r="E30" s="345">
        <f>IFERROR('tablas evol EM CAT'!E30-'tablas evol EM CAT'!E43,"-")</f>
        <v>-0.30519361434376435</v>
      </c>
      <c r="F30" s="345">
        <f>IFERROR('tablas evol EM CAT'!F30-'tablas evol EM CAT'!F43,"-")</f>
        <v>-0.29589201264337994</v>
      </c>
      <c r="G30" s="345">
        <f>IFERROR('tablas evol EM CAT'!G30-'tablas evol EM CAT'!G43,"-")</f>
        <v>-0.48739902787741674</v>
      </c>
      <c r="H30" s="345">
        <f>IFERROR('tablas evol EM CAT'!H30-'tablas evol EM CAT'!H43,"-")</f>
        <v>-0.34230758042801579</v>
      </c>
      <c r="I30" s="345">
        <f>IFERROR('tablas evol EM CAT'!I30-'tablas evol EM CAT'!I43,"-")</f>
        <v>-0.34219359036848296</v>
      </c>
      <c r="J30" s="345">
        <f>IFERROR('tablas evol EM CAT'!J30-'tablas evol EM CAT'!J43,"-")</f>
        <v>-0.34171515979331701</v>
      </c>
    </row>
    <row r="31" spans="3:10" hidden="1" outlineLevel="1">
      <c r="C31" s="51" t="s">
        <v>37</v>
      </c>
      <c r="D31" s="342">
        <f>IFERROR('tablas evol EM CAT'!D31-'tablas evol EM CAT'!D44,"-")</f>
        <v>0.23704996282561375</v>
      </c>
      <c r="E31" s="342">
        <f>IFERROR('tablas evol EM CAT'!E31-'tablas evol EM CAT'!E44,"-")</f>
        <v>-0.15000000000000036</v>
      </c>
      <c r="F31" s="342">
        <f>IFERROR('tablas evol EM CAT'!F31-'tablas evol EM CAT'!F44,"-")</f>
        <v>-0.32000000000000028</v>
      </c>
      <c r="G31" s="342">
        <f>IFERROR('tablas evol EM CAT'!G31-'tablas evol EM CAT'!G44,"-")</f>
        <v>0.37000000000000011</v>
      </c>
      <c r="H31" s="342">
        <f>IFERROR('tablas evol EM CAT'!H31-'tablas evol EM CAT'!H44,"-")</f>
        <v>-0.14000000000000057</v>
      </c>
      <c r="I31" s="342">
        <f>IFERROR('tablas evol EM CAT'!I31-'tablas evol EM CAT'!I44,"-")</f>
        <v>-0.96999999999999886</v>
      </c>
      <c r="J31" s="342">
        <f>IFERROR('tablas evol EM CAT'!J31-'tablas evol EM CAT'!J44,"-")</f>
        <v>-0.4399999999999995</v>
      </c>
    </row>
    <row r="32" spans="3:10" hidden="1" outlineLevel="1">
      <c r="C32" s="51" t="s">
        <v>38</v>
      </c>
      <c r="D32" s="342">
        <f>IFERROR('tablas evol EM CAT'!D32-'tablas evol EM CAT'!D45,"-")</f>
        <v>0.10953744929315512</v>
      </c>
      <c r="E32" s="342">
        <f>IFERROR('tablas evol EM CAT'!E32-'tablas evol EM CAT'!E45,"-")</f>
        <v>0.10999999999999943</v>
      </c>
      <c r="F32" s="342">
        <f>IFERROR('tablas evol EM CAT'!F32-'tablas evol EM CAT'!F45,"-")</f>
        <v>2.000000000000135E-2</v>
      </c>
      <c r="G32" s="342">
        <f>IFERROR('tablas evol EM CAT'!G32-'tablas evol EM CAT'!G45,"-")</f>
        <v>0.72999999999999954</v>
      </c>
      <c r="H32" s="342">
        <f>IFERROR('tablas evol EM CAT'!H32-'tablas evol EM CAT'!H45,"-")</f>
        <v>0.16000000000000014</v>
      </c>
      <c r="I32" s="342">
        <f>IFERROR('tablas evol EM CAT'!I32-'tablas evol EM CAT'!I45,"-")</f>
        <v>-3.9999999999999147E-2</v>
      </c>
      <c r="J32" s="342">
        <f>IFERROR('tablas evol EM CAT'!J32-'tablas evol EM CAT'!J45,"-")</f>
        <v>8.0000000000000071E-2</v>
      </c>
    </row>
    <row r="33" spans="3:10" hidden="1" outlineLevel="1">
      <c r="C33" s="51" t="s">
        <v>39</v>
      </c>
      <c r="D33" s="342">
        <f>IFERROR('tablas evol EM CAT'!D33-'tablas evol EM CAT'!D46,"-")</f>
        <v>-1.5009528526857059</v>
      </c>
      <c r="E33" s="342">
        <f>IFERROR('tablas evol EM CAT'!E33-'tablas evol EM CAT'!E46,"-")</f>
        <v>4.0000000000000924E-2</v>
      </c>
      <c r="F33" s="342">
        <f>IFERROR('tablas evol EM CAT'!F33-'tablas evol EM CAT'!F46,"-")</f>
        <v>0.16999999999999993</v>
      </c>
      <c r="G33" s="342">
        <f>IFERROR('tablas evol EM CAT'!G33-'tablas evol EM CAT'!G46,"-")</f>
        <v>1.2300000000000004</v>
      </c>
      <c r="H33" s="342">
        <f>IFERROR('tablas evol EM CAT'!H33-'tablas evol EM CAT'!H46,"-")</f>
        <v>0.29000000000000004</v>
      </c>
      <c r="I33" s="342">
        <f>IFERROR('tablas evol EM CAT'!I33-'tablas evol EM CAT'!I46,"-")</f>
        <v>-0.62999999999999901</v>
      </c>
      <c r="J33" s="342">
        <f>IFERROR('tablas evol EM CAT'!J33-'tablas evol EM CAT'!J46,"-")</f>
        <v>-3.0000000000001137E-2</v>
      </c>
    </row>
    <row r="34" spans="3:10" hidden="1" outlineLevel="1">
      <c r="C34" s="51" t="s">
        <v>40</v>
      </c>
      <c r="D34" s="342">
        <f>IFERROR('tablas evol EM CAT'!D34-'tablas evol EM CAT'!D47,"-")</f>
        <v>-1.2945611402850714</v>
      </c>
      <c r="E34" s="342">
        <f>IFERROR('tablas evol EM CAT'!E34-'tablas evol EM CAT'!E47,"-")</f>
        <v>-0.26999999999999957</v>
      </c>
      <c r="F34" s="342">
        <f>IFERROR('tablas evol EM CAT'!F34-'tablas evol EM CAT'!F47,"-")</f>
        <v>-9.9999999999997868E-3</v>
      </c>
      <c r="G34" s="342">
        <f>IFERROR('tablas evol EM CAT'!G34-'tablas evol EM CAT'!G47,"-")</f>
        <v>1.879999999999999</v>
      </c>
      <c r="H34" s="342">
        <f>IFERROR('tablas evol EM CAT'!H34-'tablas evol EM CAT'!H47,"-")</f>
        <v>0.19000000000000128</v>
      </c>
      <c r="I34" s="342">
        <f>IFERROR('tablas evol EM CAT'!I34-'tablas evol EM CAT'!I47,"-")</f>
        <v>-0.57000000000000028</v>
      </c>
      <c r="J34" s="342">
        <f>IFERROR('tablas evol EM CAT'!J34-'tablas evol EM CAT'!J47,"-")</f>
        <v>-5.0000000000000711E-2</v>
      </c>
    </row>
    <row r="35" spans="3:10" hidden="1" outlineLevel="1">
      <c r="C35" s="51" t="s">
        <v>41</v>
      </c>
      <c r="D35" s="342">
        <f>IFERROR('tablas evol EM CAT'!D35-'tablas evol EM CAT'!D48,"-")</f>
        <v>-0.84658130865964587</v>
      </c>
      <c r="E35" s="342">
        <f>IFERROR('tablas evol EM CAT'!E35-'tablas evol EM CAT'!E48,"-")</f>
        <v>-0.40999999999999837</v>
      </c>
      <c r="F35" s="342">
        <f>IFERROR('tablas evol EM CAT'!F35-'tablas evol EM CAT'!F48,"-")</f>
        <v>-0.61000000000000121</v>
      </c>
      <c r="G35" s="342">
        <f>IFERROR('tablas evol EM CAT'!G35-'tablas evol EM CAT'!G48,"-")</f>
        <v>0.91000000000000014</v>
      </c>
      <c r="H35" s="342">
        <f>IFERROR('tablas evol EM CAT'!H35-'tablas evol EM CAT'!H48,"-")</f>
        <v>-0.37000000000000099</v>
      </c>
      <c r="I35" s="342">
        <f>IFERROR('tablas evol EM CAT'!I35-'tablas evol EM CAT'!I48,"-")</f>
        <v>-0.23000000000000043</v>
      </c>
      <c r="J35" s="342">
        <f>IFERROR('tablas evol EM CAT'!J35-'tablas evol EM CAT'!J48,"-")</f>
        <v>-0.3100000000000005</v>
      </c>
    </row>
    <row r="36" spans="3:10" hidden="1" outlineLevel="1">
      <c r="C36" s="51" t="s">
        <v>42</v>
      </c>
      <c r="D36" s="342">
        <f>IFERROR('tablas evol EM CAT'!D36-'tablas evol EM CAT'!D49,"-")</f>
        <v>-1.2668331205727004</v>
      </c>
      <c r="E36" s="342">
        <f>IFERROR('tablas evol EM CAT'!E36-'tablas evol EM CAT'!E49,"-")</f>
        <v>6.9999999999998508E-2</v>
      </c>
      <c r="F36" s="342">
        <f>IFERROR('tablas evol EM CAT'!F36-'tablas evol EM CAT'!F49,"-")</f>
        <v>0.80000000000000071</v>
      </c>
      <c r="G36" s="342">
        <f>IFERROR('tablas evol EM CAT'!G36-'tablas evol EM CAT'!G49,"-")</f>
        <v>1.0600000000000005</v>
      </c>
      <c r="H36" s="342">
        <f>IFERROR('tablas evol EM CAT'!H36-'tablas evol EM CAT'!H49,"-")</f>
        <v>0.65999999999999837</v>
      </c>
      <c r="I36" s="342">
        <f>IFERROR('tablas evol EM CAT'!I36-'tablas evol EM CAT'!I49,"-")</f>
        <v>5.9999999999998721E-2</v>
      </c>
      <c r="J36" s="342">
        <f>IFERROR('tablas evol EM CAT'!J36-'tablas evol EM CAT'!J49,"-")</f>
        <v>0.45999999999999908</v>
      </c>
    </row>
    <row r="37" spans="3:10" hidden="1" outlineLevel="1">
      <c r="C37" s="51" t="s">
        <v>43</v>
      </c>
      <c r="D37" s="342">
        <f>IFERROR('tablas evol EM CAT'!D37-'tablas evol EM CAT'!D50,"-")</f>
        <v>2.3845344532907333</v>
      </c>
      <c r="E37" s="342">
        <f>IFERROR('tablas evol EM CAT'!E37-'tablas evol EM CAT'!E50,"-")</f>
        <v>0.45133764832793943</v>
      </c>
      <c r="F37" s="342">
        <f>IFERROR('tablas evol EM CAT'!F37-'tablas evol EM CAT'!F50,"-")</f>
        <v>0.31953215459239637</v>
      </c>
      <c r="G37" s="342">
        <f>IFERROR('tablas evol EM CAT'!G37-'tablas evol EM CAT'!G50,"-")</f>
        <v>1.2794942108470444</v>
      </c>
      <c r="H37" s="342">
        <f>IFERROR('tablas evol EM CAT'!H37-'tablas evol EM CAT'!H50,"-")</f>
        <v>0.50999999999999979</v>
      </c>
      <c r="I37" s="342">
        <f>IFERROR('tablas evol EM CAT'!I37-'tablas evol EM CAT'!I50,"-")</f>
        <v>1.17</v>
      </c>
      <c r="J37" s="342">
        <f>IFERROR('tablas evol EM CAT'!J37-'tablas evol EM CAT'!J50,"-")</f>
        <v>0.71000000000000085</v>
      </c>
    </row>
    <row r="38" spans="3:10" hidden="1" outlineLevel="1">
      <c r="C38" s="51" t="s">
        <v>44</v>
      </c>
      <c r="D38" s="342">
        <f>IFERROR('tablas evol EM CAT'!D38-'tablas evol EM CAT'!D51,"-")</f>
        <v>-0.62609318523475377</v>
      </c>
      <c r="E38" s="342">
        <f>IFERROR('tablas evol EM CAT'!E38-'tablas evol EM CAT'!E51,"-")</f>
        <v>-0.55000000000000071</v>
      </c>
      <c r="F38" s="342">
        <f>IFERROR('tablas evol EM CAT'!F38-'tablas evol EM CAT'!F51,"-")</f>
        <v>-0.8199999999999994</v>
      </c>
      <c r="G38" s="342">
        <f>IFERROR('tablas evol EM CAT'!G38-'tablas evol EM CAT'!G51,"-")</f>
        <v>0.29999999999999982</v>
      </c>
      <c r="H38" s="342">
        <f>IFERROR('tablas evol EM CAT'!H38-'tablas evol EM CAT'!H51,"-")</f>
        <v>-0.54</v>
      </c>
      <c r="I38" s="342">
        <f>IFERROR('tablas evol EM CAT'!I38-'tablas evol EM CAT'!I51,"-")</f>
        <v>-1.5599999999999987</v>
      </c>
      <c r="J38" s="342">
        <f>IFERROR('tablas evol EM CAT'!J38-'tablas evol EM CAT'!J51,"-")</f>
        <v>-0.83999999999999986</v>
      </c>
    </row>
    <row r="39" spans="3:10" hidden="1" outlineLevel="1">
      <c r="C39" s="51" t="s">
        <v>45</v>
      </c>
      <c r="D39" s="342">
        <f>IFERROR('tablas evol EM CAT'!D39-'tablas evol EM CAT'!D52,"-")</f>
        <v>0.60636286837303111</v>
      </c>
      <c r="E39" s="342">
        <f>IFERROR('tablas evol EM CAT'!E39-'tablas evol EM CAT'!E52,"-")</f>
        <v>0.63000000000000078</v>
      </c>
      <c r="F39" s="342">
        <f>IFERROR('tablas evol EM CAT'!F39-'tablas evol EM CAT'!F52,"-")</f>
        <v>0.75</v>
      </c>
      <c r="G39" s="342">
        <f>IFERROR('tablas evol EM CAT'!G39-'tablas evol EM CAT'!G52,"-")</f>
        <v>0.94000000000000039</v>
      </c>
      <c r="H39" s="342">
        <f>IFERROR('tablas evol EM CAT'!H39-'tablas evol EM CAT'!H52,"-")</f>
        <v>0.77000000000000046</v>
      </c>
      <c r="I39" s="342">
        <f>IFERROR('tablas evol EM CAT'!I39-'tablas evol EM CAT'!I52,"-")</f>
        <v>-9.9999999999997868E-3</v>
      </c>
      <c r="J39" s="342">
        <f>IFERROR('tablas evol EM CAT'!J39-'tablas evol EM CAT'!J52,"-")</f>
        <v>0.49000000000000021</v>
      </c>
    </row>
    <row r="40" spans="3:10" hidden="1" outlineLevel="1">
      <c r="C40" s="51" t="s">
        <v>46</v>
      </c>
      <c r="D40" s="342">
        <f>IFERROR('tablas evol EM CAT'!D40-'tablas evol EM CAT'!D53,"-")</f>
        <v>4.9068875176251581E-2</v>
      </c>
      <c r="E40" s="342">
        <f>IFERROR('tablas evol EM CAT'!E40-'tablas evol EM CAT'!E53,"-")</f>
        <v>-9.9999999999997868E-3</v>
      </c>
      <c r="F40" s="342">
        <f>IFERROR('tablas evol EM CAT'!F40-'tablas evol EM CAT'!F53,"-")</f>
        <v>0.11000000000000032</v>
      </c>
      <c r="G40" s="342">
        <f>IFERROR('tablas evol EM CAT'!G40-'tablas evol EM CAT'!G53,"-")</f>
        <v>-8.9999999999999858E-2</v>
      </c>
      <c r="H40" s="342">
        <f>IFERROR('tablas evol EM CAT'!H40-'tablas evol EM CAT'!H53,"-")</f>
        <v>4.9999999999999822E-2</v>
      </c>
      <c r="I40" s="342">
        <f>IFERROR('tablas evol EM CAT'!I40-'tablas evol EM CAT'!I53,"-")</f>
        <v>0.28999999999999915</v>
      </c>
      <c r="J40" s="342">
        <f>IFERROR('tablas evol EM CAT'!J40-'tablas evol EM CAT'!J53,"-")</f>
        <v>9.9999999999999645E-2</v>
      </c>
    </row>
    <row r="41" spans="3:10" hidden="1" outlineLevel="1">
      <c r="C41" s="51" t="s">
        <v>47</v>
      </c>
      <c r="D41" s="342">
        <f>IFERROR('tablas evol EM CAT'!D41-'tablas evol EM CAT'!D54,"-")</f>
        <v>-0.82660702117130125</v>
      </c>
      <c r="E41" s="342">
        <f>IFERROR('tablas evol EM CAT'!E41-'tablas evol EM CAT'!E54,"-")</f>
        <v>0.43000000000000149</v>
      </c>
      <c r="F41" s="342">
        <f>IFERROR('tablas evol EM CAT'!F41-'tablas evol EM CAT'!F54,"-")</f>
        <v>-0.15000000000000036</v>
      </c>
      <c r="G41" s="342">
        <f>IFERROR('tablas evol EM CAT'!G41-'tablas evol EM CAT'!G54,"-")</f>
        <v>0.29999999999999982</v>
      </c>
      <c r="H41" s="342">
        <f>IFERROR('tablas evol EM CAT'!H41-'tablas evol EM CAT'!H54,"-")</f>
        <v>4.0000000000000036E-2</v>
      </c>
      <c r="I41" s="342">
        <f>IFERROR('tablas evol EM CAT'!I41-'tablas evol EM CAT'!I54,"-")</f>
        <v>-0.62000000000000099</v>
      </c>
      <c r="J41" s="342">
        <f>IFERROR('tablas evol EM CAT'!J41-'tablas evol EM CAT'!J54,"-")</f>
        <v>-0.20999999999999908</v>
      </c>
    </row>
    <row r="42" spans="3:10" hidden="1" outlineLevel="1">
      <c r="C42" s="51" t="s">
        <v>48</v>
      </c>
      <c r="D42" s="342">
        <f>IFERROR('tablas evol EM CAT'!D42-'tablas evol EM CAT'!D55,"-")</f>
        <v>0.28419881621529441</v>
      </c>
      <c r="E42" s="342">
        <f>IFERROR('tablas evol EM CAT'!E42-'tablas evol EM CAT'!E55,"-")</f>
        <v>9.9999999999997868E-3</v>
      </c>
      <c r="F42" s="342">
        <f>IFERROR('tablas evol EM CAT'!F42-'tablas evol EM CAT'!F55,"-")</f>
        <v>0.52999999999999936</v>
      </c>
      <c r="G42" s="342">
        <f>IFERROR('tablas evol EM CAT'!G42-'tablas evol EM CAT'!G55,"-")</f>
        <v>0.35999999999999943</v>
      </c>
      <c r="H42" s="342">
        <f>IFERROR('tablas evol EM CAT'!H42-'tablas evol EM CAT'!H55,"-")</f>
        <v>0.40000000000000036</v>
      </c>
      <c r="I42" s="342">
        <f>IFERROR('tablas evol EM CAT'!I42-'tablas evol EM CAT'!I55,"-")</f>
        <v>2.000000000000135E-2</v>
      </c>
      <c r="J42" s="342">
        <f>IFERROR('tablas evol EM CAT'!J42-'tablas evol EM CAT'!J55,"-")</f>
        <v>0.25999999999999979</v>
      </c>
    </row>
    <row r="43" spans="3:10" collapsed="1">
      <c r="C43" s="58">
        <v>2008</v>
      </c>
      <c r="D43" s="346">
        <f>IFERROR('tablas evol EM CAT'!D43-'tablas evol EM CAT'!D56,"-")</f>
        <v>-0.26030575238790377</v>
      </c>
      <c r="E43" s="346">
        <f>IFERROR('tablas evol EM CAT'!E43-'tablas evol EM CAT'!E56,"-")</f>
        <v>3.282323112940233E-2</v>
      </c>
      <c r="F43" s="346">
        <f>IFERROR('tablas evol EM CAT'!F43-'tablas evol EM CAT'!F56,"-")</f>
        <v>5.3801954905805971E-2</v>
      </c>
      <c r="G43" s="346">
        <f>IFERROR('tablas evol EM CAT'!G43-'tablas evol EM CAT'!G56,"-")</f>
        <v>0.72466352899015085</v>
      </c>
      <c r="H43" s="346">
        <f>IFERROR('tablas evol EM CAT'!H43-'tablas evol EM CAT'!H56,"-")</f>
        <v>0.15187638916851753</v>
      </c>
      <c r="I43" s="346">
        <f>IFERROR('tablas evol EM CAT'!I43-'tablas evol EM CAT'!I56,"-")</f>
        <v>-0.22509100177808605</v>
      </c>
      <c r="J43" s="346">
        <f>IFERROR('tablas evol EM CAT'!J43-'tablas evol EM CAT'!J56,"-")</f>
        <v>1.6909883088906952E-2</v>
      </c>
    </row>
    <row r="44" spans="3:10" hidden="1" outlineLevel="1">
      <c r="C44" s="51" t="s">
        <v>37</v>
      </c>
      <c r="D44" s="342">
        <f>IFERROR('tablas evol EM CAT'!D44-'tablas evol EM CAT'!D57,"-")</f>
        <v>1.59484824031545</v>
      </c>
      <c r="E44" s="342">
        <f>IFERROR('tablas evol EM CAT'!E44-'tablas evol EM CAT'!E57,"-")</f>
        <v>0.59000000000000163</v>
      </c>
      <c r="F44" s="342">
        <f>IFERROR('tablas evol EM CAT'!F44-'tablas evol EM CAT'!F57,"-")</f>
        <v>0.94000000000000039</v>
      </c>
      <c r="G44" s="342">
        <f>IFERROR('tablas evol EM CAT'!G44-'tablas evol EM CAT'!G57,"-")</f>
        <v>0.13999999999999968</v>
      </c>
      <c r="H44" s="342">
        <f>IFERROR('tablas evol EM CAT'!H44-'tablas evol EM CAT'!H57,"-")</f>
        <v>0.77000000000000046</v>
      </c>
      <c r="I44" s="342">
        <f>IFERROR('tablas evol EM CAT'!I44-'tablas evol EM CAT'!I57,"-")</f>
        <v>1.1199999999999992</v>
      </c>
      <c r="J44" s="342">
        <f>IFERROR('tablas evol EM CAT'!J44-'tablas evol EM CAT'!J57,"-")</f>
        <v>0.89000000000000057</v>
      </c>
    </row>
    <row r="45" spans="3:10" hidden="1" outlineLevel="1">
      <c r="C45" s="51" t="s">
        <v>38</v>
      </c>
      <c r="D45" s="342">
        <f>IFERROR('tablas evol EM CAT'!D45-'tablas evol EM CAT'!D58,"-")</f>
        <v>-4.3308579991262697E-2</v>
      </c>
      <c r="E45" s="342">
        <f>IFERROR('tablas evol EM CAT'!E45-'tablas evol EM CAT'!E58,"-")</f>
        <v>0.24000000000000021</v>
      </c>
      <c r="F45" s="342">
        <f>IFERROR('tablas evol EM CAT'!F45-'tablas evol EM CAT'!F58,"-")</f>
        <v>5.9999999999998721E-2</v>
      </c>
      <c r="G45" s="342">
        <f>IFERROR('tablas evol EM CAT'!G45-'tablas evol EM CAT'!G58,"-")</f>
        <v>0.45000000000000018</v>
      </c>
      <c r="H45" s="342">
        <f>IFERROR('tablas evol EM CAT'!H45-'tablas evol EM CAT'!H58,"-")</f>
        <v>0.20999999999999996</v>
      </c>
      <c r="I45" s="342">
        <f>IFERROR('tablas evol EM CAT'!I45-'tablas evol EM CAT'!I58,"-")</f>
        <v>-1.5</v>
      </c>
      <c r="J45" s="342">
        <f>IFERROR('tablas evol EM CAT'!J45-'tablas evol EM CAT'!J58,"-")</f>
        <v>-0.34999999999999964</v>
      </c>
    </row>
    <row r="46" spans="3:10" hidden="1" outlineLevel="1">
      <c r="C46" s="51" t="s">
        <v>39</v>
      </c>
      <c r="D46" s="342">
        <f>IFERROR('tablas evol EM CAT'!D46-'tablas evol EM CAT'!D59,"-")</f>
        <v>1.2418636898316562</v>
      </c>
      <c r="E46" s="342">
        <f>IFERROR('tablas evol EM CAT'!E46-'tablas evol EM CAT'!E59,"-")</f>
        <v>-0.17999999999999972</v>
      </c>
      <c r="F46" s="342">
        <f>IFERROR('tablas evol EM CAT'!F46-'tablas evol EM CAT'!F59,"-")</f>
        <v>-0.33000000000000007</v>
      </c>
      <c r="G46" s="342">
        <f>IFERROR('tablas evol EM CAT'!G46-'tablas evol EM CAT'!G59,"-")</f>
        <v>1.1600000000000001</v>
      </c>
      <c r="H46" s="342">
        <f>IFERROR('tablas evol EM CAT'!H46-'tablas evol EM CAT'!H59,"-")</f>
        <v>-1.9999999999999574E-2</v>
      </c>
      <c r="I46" s="342">
        <f>IFERROR('tablas evol EM CAT'!I46-'tablas evol EM CAT'!I59,"-")</f>
        <v>0.30999999999999872</v>
      </c>
      <c r="J46" s="342">
        <f>IFERROR('tablas evol EM CAT'!J46-'tablas evol EM CAT'!J59,"-")</f>
        <v>9.0000000000000746E-2</v>
      </c>
    </row>
    <row r="47" spans="3:10" hidden="1" outlineLevel="1">
      <c r="C47" s="51" t="s">
        <v>40</v>
      </c>
      <c r="D47" s="342">
        <f>IFERROR('tablas evol EM CAT'!D47-'tablas evol EM CAT'!D60,"-")</f>
        <v>2.9932304734798834</v>
      </c>
      <c r="E47" s="342">
        <f>IFERROR('tablas evol EM CAT'!E47-'tablas evol EM CAT'!E60,"-")</f>
        <v>1.08</v>
      </c>
      <c r="F47" s="342">
        <f>IFERROR('tablas evol EM CAT'!F47-'tablas evol EM CAT'!F60,"-")</f>
        <v>0.61000000000000032</v>
      </c>
      <c r="G47" s="342">
        <f>IFERROR('tablas evol EM CAT'!G47-'tablas evol EM CAT'!G60,"-")</f>
        <v>-0.83999999999999986</v>
      </c>
      <c r="H47" s="342">
        <f>IFERROR('tablas evol EM CAT'!H47-'tablas evol EM CAT'!H60,"-")</f>
        <v>0.50999999999999979</v>
      </c>
      <c r="I47" s="342">
        <f>IFERROR('tablas evol EM CAT'!I47-'tablas evol EM CAT'!I60,"-")</f>
        <v>1.0700000000000003</v>
      </c>
      <c r="J47" s="342">
        <f>IFERROR('tablas evol EM CAT'!J47-'tablas evol EM CAT'!J60,"-")</f>
        <v>0.67999999999999972</v>
      </c>
    </row>
    <row r="48" spans="3:10" hidden="1" outlineLevel="1">
      <c r="C48" s="51" t="s">
        <v>41</v>
      </c>
      <c r="D48" s="342">
        <f>IFERROR('tablas evol EM CAT'!D48-'tablas evol EM CAT'!D61,"-")</f>
        <v>-0.48051555851838224</v>
      </c>
      <c r="E48" s="342">
        <f>IFERROR('tablas evol EM CAT'!E48-'tablas evol EM CAT'!E61,"-")</f>
        <v>-0.62000000000000099</v>
      </c>
      <c r="F48" s="342">
        <f>IFERROR('tablas evol EM CAT'!F48-'tablas evol EM CAT'!F61,"-")</f>
        <v>-0.32000000000000028</v>
      </c>
      <c r="G48" s="342">
        <f>IFERROR('tablas evol EM CAT'!G48-'tablas evol EM CAT'!G61,"-")</f>
        <v>-0.27000000000000046</v>
      </c>
      <c r="H48" s="342">
        <f>IFERROR('tablas evol EM CAT'!H48-'tablas evol EM CAT'!H61,"-")</f>
        <v>-0.36999999999999922</v>
      </c>
      <c r="I48" s="342">
        <f>IFERROR('tablas evol EM CAT'!I48-'tablas evol EM CAT'!I61,"-")</f>
        <v>-1.2599999999999998</v>
      </c>
      <c r="J48" s="342">
        <f>IFERROR('tablas evol EM CAT'!J48-'tablas evol EM CAT'!J61,"-")</f>
        <v>-0.69999999999999929</v>
      </c>
    </row>
    <row r="49" spans="3:10" hidden="1" outlineLevel="1">
      <c r="C49" s="51" t="s">
        <v>42</v>
      </c>
      <c r="D49" s="342">
        <f>IFERROR('tablas evol EM CAT'!D49-'tablas evol EM CAT'!D62,"-")</f>
        <v>-0.47258883511612204</v>
      </c>
      <c r="E49" s="342">
        <f>IFERROR('tablas evol EM CAT'!E49-'tablas evol EM CAT'!E62,"-")</f>
        <v>-6.9999999999998508E-2</v>
      </c>
      <c r="F49" s="342">
        <f>IFERROR('tablas evol EM CAT'!F49-'tablas evol EM CAT'!F62,"-")</f>
        <v>-0.25999999999999979</v>
      </c>
      <c r="G49" s="342">
        <f>IFERROR('tablas evol EM CAT'!G49-'tablas evol EM CAT'!G62,"-")</f>
        <v>-1.2200000000000006</v>
      </c>
      <c r="H49" s="342">
        <f>IFERROR('tablas evol EM CAT'!H49-'tablas evol EM CAT'!H62,"-")</f>
        <v>-0.37999999999999901</v>
      </c>
      <c r="I49" s="342">
        <f>IFERROR('tablas evol EM CAT'!I49-'tablas evol EM CAT'!I62,"-")</f>
        <v>-3.9999999999999147E-2</v>
      </c>
      <c r="J49" s="342">
        <f>IFERROR('tablas evol EM CAT'!J49-'tablas evol EM CAT'!J62,"-")</f>
        <v>-0.27999999999999936</v>
      </c>
    </row>
    <row r="50" spans="3:10" hidden="1" outlineLevel="1">
      <c r="C50" s="51" t="s">
        <v>43</v>
      </c>
      <c r="D50" s="342">
        <f>IFERROR('tablas evol EM CAT'!D50-'tablas evol EM CAT'!D63,"-")</f>
        <v>-2.2178681065803492</v>
      </c>
      <c r="E50" s="342">
        <f>IFERROR('tablas evol EM CAT'!E50-'tablas evol EM CAT'!E63,"-")</f>
        <v>-0.64999999999999858</v>
      </c>
      <c r="F50" s="342">
        <f>IFERROR('tablas evol EM CAT'!F50-'tablas evol EM CAT'!F63,"-")</f>
        <v>-0.49000000000000021</v>
      </c>
      <c r="G50" s="342">
        <f>IFERROR('tablas evol EM CAT'!G50-'tablas evol EM CAT'!G63,"-")</f>
        <v>-0.84000000000000075</v>
      </c>
      <c r="H50" s="342">
        <f>IFERROR('tablas evol EM CAT'!H50-'tablas evol EM CAT'!H63,"-")</f>
        <v>-0.59999999999999964</v>
      </c>
      <c r="I50" s="342">
        <f>IFERROR('tablas evol EM CAT'!I50-'tablas evol EM CAT'!I63,"-")</f>
        <v>0.15000000000000036</v>
      </c>
      <c r="J50" s="342">
        <f>IFERROR('tablas evol EM CAT'!J50-'tablas evol EM CAT'!J63,"-")</f>
        <v>-0.35000000000000053</v>
      </c>
    </row>
    <row r="51" spans="3:10" hidden="1" outlineLevel="1">
      <c r="C51" s="51" t="s">
        <v>44</v>
      </c>
      <c r="D51" s="342">
        <f>IFERROR('tablas evol EM CAT'!D51-'tablas evol EM CAT'!D64,"-")</f>
        <v>-0.55483337651272624</v>
      </c>
      <c r="E51" s="342">
        <f>IFERROR('tablas evol EM CAT'!E51-'tablas evol EM CAT'!E64,"-")</f>
        <v>0.61000000000000121</v>
      </c>
      <c r="F51" s="342">
        <f>IFERROR('tablas evol EM CAT'!F51-'tablas evol EM CAT'!F64,"-")</f>
        <v>4.0000000000000036E-2</v>
      </c>
      <c r="G51" s="342">
        <f>IFERROR('tablas evol EM CAT'!G51-'tablas evol EM CAT'!G64,"-")</f>
        <v>-0.83000000000000007</v>
      </c>
      <c r="H51" s="342">
        <f>IFERROR('tablas evol EM CAT'!H51-'tablas evol EM CAT'!H64,"-")</f>
        <v>-7.0000000000000284E-2</v>
      </c>
      <c r="I51" s="342">
        <f>IFERROR('tablas evol EM CAT'!I51-'tablas evol EM CAT'!I64,"-")</f>
        <v>0.59999999999999964</v>
      </c>
      <c r="J51" s="342">
        <f>IFERROR('tablas evol EM CAT'!J51-'tablas evol EM CAT'!J64,"-")</f>
        <v>0.12000000000000099</v>
      </c>
    </row>
    <row r="52" spans="3:10" hidden="1" outlineLevel="1">
      <c r="C52" s="51" t="s">
        <v>45</v>
      </c>
      <c r="D52" s="342">
        <f>IFERROR('tablas evol EM CAT'!D52-'tablas evol EM CAT'!D65,"-")</f>
        <v>-1.3223151044782924</v>
      </c>
      <c r="E52" s="342">
        <f>IFERROR('tablas evol EM CAT'!E52-'tablas evol EM CAT'!E65,"-")</f>
        <v>-6.0000000000000497E-2</v>
      </c>
      <c r="F52" s="342">
        <f>IFERROR('tablas evol EM CAT'!F52-'tablas evol EM CAT'!F65,"-")</f>
        <v>9.9999999999997868E-3</v>
      </c>
      <c r="G52" s="342">
        <f>IFERROR('tablas evol EM CAT'!G52-'tablas evol EM CAT'!G65,"-")</f>
        <v>-4.0000000000000036E-2</v>
      </c>
      <c r="H52" s="342">
        <f>IFERROR('tablas evol EM CAT'!H52-'tablas evol EM CAT'!H65,"-")</f>
        <v>-6.0000000000000497E-2</v>
      </c>
      <c r="I52" s="342">
        <f>IFERROR('tablas evol EM CAT'!I52-'tablas evol EM CAT'!I65,"-")</f>
        <v>8.0000000000000071E-2</v>
      </c>
      <c r="J52" s="342">
        <f>IFERROR('tablas evol EM CAT'!J52-'tablas evol EM CAT'!J65,"-")</f>
        <v>-1.9999999999999574E-2</v>
      </c>
    </row>
    <row r="53" spans="3:10" hidden="1" outlineLevel="1">
      <c r="C53" s="51" t="s">
        <v>46</v>
      </c>
      <c r="D53" s="342">
        <f>IFERROR('tablas evol EM CAT'!D53-'tablas evol EM CAT'!D66,"-")</f>
        <v>-0.81016542328109953</v>
      </c>
      <c r="E53" s="342">
        <f>IFERROR('tablas evol EM CAT'!E53-'tablas evol EM CAT'!E66,"-")</f>
        <v>-1.3900000000000006</v>
      </c>
      <c r="F53" s="342">
        <f>IFERROR('tablas evol EM CAT'!F53-'tablas evol EM CAT'!F66,"-")</f>
        <v>-0.29999999999999982</v>
      </c>
      <c r="G53" s="342">
        <f>IFERROR('tablas evol EM CAT'!G53-'tablas evol EM CAT'!G66,"-")</f>
        <v>0.14999999999999947</v>
      </c>
      <c r="H53" s="342">
        <f>IFERROR('tablas evol EM CAT'!H53-'tablas evol EM CAT'!H66,"-")</f>
        <v>-0.44000000000000039</v>
      </c>
      <c r="I53" s="342">
        <f>IFERROR('tablas evol EM CAT'!I53-'tablas evol EM CAT'!I66,"-")</f>
        <v>-0.44999999999999929</v>
      </c>
      <c r="J53" s="342">
        <f>IFERROR('tablas evol EM CAT'!J53-'tablas evol EM CAT'!J66,"-")</f>
        <v>-0.44999999999999929</v>
      </c>
    </row>
    <row r="54" spans="3:10" hidden="1" outlineLevel="1">
      <c r="C54" s="51" t="s">
        <v>47</v>
      </c>
      <c r="D54" s="342">
        <f>IFERROR('tablas evol EM CAT'!D54-'tablas evol EM CAT'!D67,"-")</f>
        <v>-0.51573085342011105</v>
      </c>
      <c r="E54" s="342">
        <f>IFERROR('tablas evol EM CAT'!E54-'tablas evol EM CAT'!E67,"-")</f>
        <v>-0.87000000000000099</v>
      </c>
      <c r="F54" s="342">
        <f>IFERROR('tablas evol EM CAT'!F54-'tablas evol EM CAT'!F67,"-")</f>
        <v>-0.13999999999999968</v>
      </c>
      <c r="G54" s="342">
        <f>IFERROR('tablas evol EM CAT'!G54-'tablas evol EM CAT'!G67,"-")</f>
        <v>-0.33000000000000007</v>
      </c>
      <c r="H54" s="342">
        <f>IFERROR('tablas evol EM CAT'!H54-'tablas evol EM CAT'!H67,"-")</f>
        <v>-0.33999999999999986</v>
      </c>
      <c r="I54" s="342">
        <f>IFERROR('tablas evol EM CAT'!I54-'tablas evol EM CAT'!I67,"-")</f>
        <v>-0.11999999999999922</v>
      </c>
      <c r="J54" s="342">
        <f>IFERROR('tablas evol EM CAT'!J54-'tablas evol EM CAT'!J67,"-")</f>
        <v>-0.26999999999999957</v>
      </c>
    </row>
    <row r="55" spans="3:10" hidden="1" outlineLevel="1">
      <c r="C55" s="51" t="s">
        <v>48</v>
      </c>
      <c r="D55" s="342">
        <f>IFERROR('tablas evol EM CAT'!D55-'tablas evol EM CAT'!D68,"-")</f>
        <v>0.70099295214841284</v>
      </c>
      <c r="E55" s="342">
        <f>IFERROR('tablas evol EM CAT'!E55-'tablas evol EM CAT'!E68,"-")</f>
        <v>-0.35999999999999943</v>
      </c>
      <c r="F55" s="342">
        <f>IFERROR('tablas evol EM CAT'!F55-'tablas evol EM CAT'!F68,"-")</f>
        <v>0.35999999999999943</v>
      </c>
      <c r="G55" s="342">
        <f>IFERROR('tablas evol EM CAT'!G55-'tablas evol EM CAT'!G68,"-")</f>
        <v>-0.82000000000000028</v>
      </c>
      <c r="H55" s="342">
        <f>IFERROR('tablas evol EM CAT'!H55-'tablas evol EM CAT'!H68,"-")</f>
        <v>3.9999999999999147E-2</v>
      </c>
      <c r="I55" s="342">
        <f>IFERROR('tablas evol EM CAT'!I55-'tablas evol EM CAT'!I68,"-")</f>
        <v>-4.0000000000000924E-2</v>
      </c>
      <c r="J55" s="342">
        <f>IFERROR('tablas evol EM CAT'!J55-'tablas evol EM CAT'!J68,"-")</f>
        <v>9.9999999999997868E-3</v>
      </c>
    </row>
    <row r="56" spans="3:10" collapsed="1">
      <c r="C56" s="58">
        <v>2007</v>
      </c>
      <c r="D56" s="346">
        <f>IFERROR('tablas evol EM CAT'!D56-'tablas evol EM CAT'!D69,"-")</f>
        <v>0.13740770806611113</v>
      </c>
      <c r="E56" s="346">
        <f>IFERROR('tablas evol EM CAT'!E56-'tablas evol EM CAT'!E69,"-")</f>
        <v>-0.18392169016916959</v>
      </c>
      <c r="F56" s="346">
        <f>IFERROR('tablas evol EM CAT'!F56-'tablas evol EM CAT'!F69,"-")</f>
        <v>3.1635934793694531E-3</v>
      </c>
      <c r="G56" s="346">
        <f>IFERROR('tablas evol EM CAT'!G56-'tablas evol EM CAT'!G69,"-")</f>
        <v>-0.18854646011332665</v>
      </c>
      <c r="H56" s="346">
        <f>IFERROR('tablas evol EM CAT'!H56-'tablas evol EM CAT'!H69,"-")</f>
        <v>-6.5053594279024907E-2</v>
      </c>
      <c r="I56" s="346">
        <f>IFERROR('tablas evol EM CAT'!I56-'tablas evol EM CAT'!I69,"-")</f>
        <v>-4.0429610057136856E-2</v>
      </c>
      <c r="J56" s="346">
        <f>IFERROR('tablas evol EM CAT'!J56-'tablas evol EM CAT'!J69,"-")</f>
        <v>-6.3904544111387906E-2</v>
      </c>
    </row>
    <row r="57" spans="3:10" ht="15" customHeight="1">
      <c r="C57" s="166" t="s">
        <v>32</v>
      </c>
      <c r="D57" s="166"/>
      <c r="E57" s="166"/>
      <c r="F57" s="166"/>
      <c r="G57" s="166"/>
      <c r="H57" s="166"/>
      <c r="I57" s="166"/>
      <c r="J57" s="166"/>
    </row>
    <row r="59" spans="3:10" ht="30" customHeight="1"/>
    <row r="61" spans="3:10" ht="30" customHeight="1"/>
  </sheetData>
  <mergeCells count="2">
    <mergeCell ref="C3:J3"/>
    <mergeCell ref="C57:J5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0:L28"/>
  <sheetViews>
    <sheetView showGridLines="0" showRowColHeaders="0" showOutlineSymbols="0" zoomScaleNormal="100" workbookViewId="0">
      <selection activeCell="B25" sqref="B25"/>
    </sheetView>
  </sheetViews>
  <sheetFormatPr baseColWidth="10" defaultRowHeight="12.75"/>
  <cols>
    <col min="1" max="2" width="11.42578125" style="23"/>
    <col min="3" max="3" width="35.7109375" style="23" customWidth="1"/>
    <col min="4" max="5" width="12.85546875" style="23" customWidth="1"/>
    <col min="6" max="6" width="14.7109375" style="23" customWidth="1"/>
    <col min="7" max="7" width="10.7109375" style="23" customWidth="1"/>
    <col min="8" max="13" width="11.42578125" style="23"/>
    <col min="14" max="14" width="14.42578125" style="23" customWidth="1"/>
    <col min="15" max="258" width="11.42578125" style="23"/>
    <col min="259" max="259" width="35.7109375" style="23" customWidth="1"/>
    <col min="260" max="261" width="12.85546875" style="23" customWidth="1"/>
    <col min="262" max="262" width="14.7109375" style="23" customWidth="1"/>
    <col min="263" max="263" width="10.7109375" style="23" customWidth="1"/>
    <col min="264" max="269" width="11.42578125" style="23"/>
    <col min="270" max="270" width="14.42578125" style="23" customWidth="1"/>
    <col min="271" max="514" width="11.42578125" style="23"/>
    <col min="515" max="515" width="35.7109375" style="23" customWidth="1"/>
    <col min="516" max="517" width="12.85546875" style="23" customWidth="1"/>
    <col min="518" max="518" width="14.7109375" style="23" customWidth="1"/>
    <col min="519" max="519" width="10.7109375" style="23" customWidth="1"/>
    <col min="520" max="525" width="11.42578125" style="23"/>
    <col min="526" max="526" width="14.42578125" style="23" customWidth="1"/>
    <col min="527" max="770" width="11.42578125" style="23"/>
    <col min="771" max="771" width="35.7109375" style="23" customWidth="1"/>
    <col min="772" max="773" width="12.85546875" style="23" customWidth="1"/>
    <col min="774" max="774" width="14.7109375" style="23" customWidth="1"/>
    <col min="775" max="775" width="10.7109375" style="23" customWidth="1"/>
    <col min="776" max="781" width="11.42578125" style="23"/>
    <col min="782" max="782" width="14.42578125" style="23" customWidth="1"/>
    <col min="783" max="1026" width="11.42578125" style="23"/>
    <col min="1027" max="1027" width="35.7109375" style="23" customWidth="1"/>
    <col min="1028" max="1029" width="12.85546875" style="23" customWidth="1"/>
    <col min="1030" max="1030" width="14.7109375" style="23" customWidth="1"/>
    <col min="1031" max="1031" width="10.7109375" style="23" customWidth="1"/>
    <col min="1032" max="1037" width="11.42578125" style="23"/>
    <col min="1038" max="1038" width="14.42578125" style="23" customWidth="1"/>
    <col min="1039" max="1282" width="11.42578125" style="23"/>
    <col min="1283" max="1283" width="35.7109375" style="23" customWidth="1"/>
    <col min="1284" max="1285" width="12.85546875" style="23" customWidth="1"/>
    <col min="1286" max="1286" width="14.7109375" style="23" customWidth="1"/>
    <col min="1287" max="1287" width="10.7109375" style="23" customWidth="1"/>
    <col min="1288" max="1293" width="11.42578125" style="23"/>
    <col min="1294" max="1294" width="14.42578125" style="23" customWidth="1"/>
    <col min="1295" max="1538" width="11.42578125" style="23"/>
    <col min="1539" max="1539" width="35.7109375" style="23" customWidth="1"/>
    <col min="1540" max="1541" width="12.85546875" style="23" customWidth="1"/>
    <col min="1542" max="1542" width="14.7109375" style="23" customWidth="1"/>
    <col min="1543" max="1543" width="10.7109375" style="23" customWidth="1"/>
    <col min="1544" max="1549" width="11.42578125" style="23"/>
    <col min="1550" max="1550" width="14.42578125" style="23" customWidth="1"/>
    <col min="1551" max="1794" width="11.42578125" style="23"/>
    <col min="1795" max="1795" width="35.7109375" style="23" customWidth="1"/>
    <col min="1796" max="1797" width="12.85546875" style="23" customWidth="1"/>
    <col min="1798" max="1798" width="14.7109375" style="23" customWidth="1"/>
    <col min="1799" max="1799" width="10.7109375" style="23" customWidth="1"/>
    <col min="1800" max="1805" width="11.42578125" style="23"/>
    <col min="1806" max="1806" width="14.42578125" style="23" customWidth="1"/>
    <col min="1807" max="2050" width="11.42578125" style="23"/>
    <col min="2051" max="2051" width="35.7109375" style="23" customWidth="1"/>
    <col min="2052" max="2053" width="12.85546875" style="23" customWidth="1"/>
    <col min="2054" max="2054" width="14.7109375" style="23" customWidth="1"/>
    <col min="2055" max="2055" width="10.7109375" style="23" customWidth="1"/>
    <col min="2056" max="2061" width="11.42578125" style="23"/>
    <col min="2062" max="2062" width="14.42578125" style="23" customWidth="1"/>
    <col min="2063" max="2306" width="11.42578125" style="23"/>
    <col min="2307" max="2307" width="35.7109375" style="23" customWidth="1"/>
    <col min="2308" max="2309" width="12.85546875" style="23" customWidth="1"/>
    <col min="2310" max="2310" width="14.7109375" style="23" customWidth="1"/>
    <col min="2311" max="2311" width="10.7109375" style="23" customWidth="1"/>
    <col min="2312" max="2317" width="11.42578125" style="23"/>
    <col min="2318" max="2318" width="14.42578125" style="23" customWidth="1"/>
    <col min="2319" max="2562" width="11.42578125" style="23"/>
    <col min="2563" max="2563" width="35.7109375" style="23" customWidth="1"/>
    <col min="2564" max="2565" width="12.85546875" style="23" customWidth="1"/>
    <col min="2566" max="2566" width="14.7109375" style="23" customWidth="1"/>
    <col min="2567" max="2567" width="10.7109375" style="23" customWidth="1"/>
    <col min="2568" max="2573" width="11.42578125" style="23"/>
    <col min="2574" max="2574" width="14.42578125" style="23" customWidth="1"/>
    <col min="2575" max="2818" width="11.42578125" style="23"/>
    <col min="2819" max="2819" width="35.7109375" style="23" customWidth="1"/>
    <col min="2820" max="2821" width="12.85546875" style="23" customWidth="1"/>
    <col min="2822" max="2822" width="14.7109375" style="23" customWidth="1"/>
    <col min="2823" max="2823" width="10.7109375" style="23" customWidth="1"/>
    <col min="2824" max="2829" width="11.42578125" style="23"/>
    <col min="2830" max="2830" width="14.42578125" style="23" customWidth="1"/>
    <col min="2831" max="3074" width="11.42578125" style="23"/>
    <col min="3075" max="3075" width="35.7109375" style="23" customWidth="1"/>
    <col min="3076" max="3077" width="12.85546875" style="23" customWidth="1"/>
    <col min="3078" max="3078" width="14.7109375" style="23" customWidth="1"/>
    <col min="3079" max="3079" width="10.7109375" style="23" customWidth="1"/>
    <col min="3080" max="3085" width="11.42578125" style="23"/>
    <col min="3086" max="3086" width="14.42578125" style="23" customWidth="1"/>
    <col min="3087" max="3330" width="11.42578125" style="23"/>
    <col min="3331" max="3331" width="35.7109375" style="23" customWidth="1"/>
    <col min="3332" max="3333" width="12.85546875" style="23" customWidth="1"/>
    <col min="3334" max="3334" width="14.7109375" style="23" customWidth="1"/>
    <col min="3335" max="3335" width="10.7109375" style="23" customWidth="1"/>
    <col min="3336" max="3341" width="11.42578125" style="23"/>
    <col min="3342" max="3342" width="14.42578125" style="23" customWidth="1"/>
    <col min="3343" max="3586" width="11.42578125" style="23"/>
    <col min="3587" max="3587" width="35.7109375" style="23" customWidth="1"/>
    <col min="3588" max="3589" width="12.85546875" style="23" customWidth="1"/>
    <col min="3590" max="3590" width="14.7109375" style="23" customWidth="1"/>
    <col min="3591" max="3591" width="10.7109375" style="23" customWidth="1"/>
    <col min="3592" max="3597" width="11.42578125" style="23"/>
    <col min="3598" max="3598" width="14.42578125" style="23" customWidth="1"/>
    <col min="3599" max="3842" width="11.42578125" style="23"/>
    <col min="3843" max="3843" width="35.7109375" style="23" customWidth="1"/>
    <col min="3844" max="3845" width="12.85546875" style="23" customWidth="1"/>
    <col min="3846" max="3846" width="14.7109375" style="23" customWidth="1"/>
    <col min="3847" max="3847" width="10.7109375" style="23" customWidth="1"/>
    <col min="3848" max="3853" width="11.42578125" style="23"/>
    <col min="3854" max="3854" width="14.42578125" style="23" customWidth="1"/>
    <col min="3855" max="4098" width="11.42578125" style="23"/>
    <col min="4099" max="4099" width="35.7109375" style="23" customWidth="1"/>
    <col min="4100" max="4101" width="12.85546875" style="23" customWidth="1"/>
    <col min="4102" max="4102" width="14.7109375" style="23" customWidth="1"/>
    <col min="4103" max="4103" width="10.7109375" style="23" customWidth="1"/>
    <col min="4104" max="4109" width="11.42578125" style="23"/>
    <col min="4110" max="4110" width="14.42578125" style="23" customWidth="1"/>
    <col min="4111" max="4354" width="11.42578125" style="23"/>
    <col min="4355" max="4355" width="35.7109375" style="23" customWidth="1"/>
    <col min="4356" max="4357" width="12.85546875" style="23" customWidth="1"/>
    <col min="4358" max="4358" width="14.7109375" style="23" customWidth="1"/>
    <col min="4359" max="4359" width="10.7109375" style="23" customWidth="1"/>
    <col min="4360" max="4365" width="11.42578125" style="23"/>
    <col min="4366" max="4366" width="14.42578125" style="23" customWidth="1"/>
    <col min="4367" max="4610" width="11.42578125" style="23"/>
    <col min="4611" max="4611" width="35.7109375" style="23" customWidth="1"/>
    <col min="4612" max="4613" width="12.85546875" style="23" customWidth="1"/>
    <col min="4614" max="4614" width="14.7109375" style="23" customWidth="1"/>
    <col min="4615" max="4615" width="10.7109375" style="23" customWidth="1"/>
    <col min="4616" max="4621" width="11.42578125" style="23"/>
    <col min="4622" max="4622" width="14.42578125" style="23" customWidth="1"/>
    <col min="4623" max="4866" width="11.42578125" style="23"/>
    <col min="4867" max="4867" width="35.7109375" style="23" customWidth="1"/>
    <col min="4868" max="4869" width="12.85546875" style="23" customWidth="1"/>
    <col min="4870" max="4870" width="14.7109375" style="23" customWidth="1"/>
    <col min="4871" max="4871" width="10.7109375" style="23" customWidth="1"/>
    <col min="4872" max="4877" width="11.42578125" style="23"/>
    <col min="4878" max="4878" width="14.42578125" style="23" customWidth="1"/>
    <col min="4879" max="5122" width="11.42578125" style="23"/>
    <col min="5123" max="5123" width="35.7109375" style="23" customWidth="1"/>
    <col min="5124" max="5125" width="12.85546875" style="23" customWidth="1"/>
    <col min="5126" max="5126" width="14.7109375" style="23" customWidth="1"/>
    <col min="5127" max="5127" width="10.7109375" style="23" customWidth="1"/>
    <col min="5128" max="5133" width="11.42578125" style="23"/>
    <col min="5134" max="5134" width="14.42578125" style="23" customWidth="1"/>
    <col min="5135" max="5378" width="11.42578125" style="23"/>
    <col min="5379" max="5379" width="35.7109375" style="23" customWidth="1"/>
    <col min="5380" max="5381" width="12.85546875" style="23" customWidth="1"/>
    <col min="5382" max="5382" width="14.7109375" style="23" customWidth="1"/>
    <col min="5383" max="5383" width="10.7109375" style="23" customWidth="1"/>
    <col min="5384" max="5389" width="11.42578125" style="23"/>
    <col min="5390" max="5390" width="14.42578125" style="23" customWidth="1"/>
    <col min="5391" max="5634" width="11.42578125" style="23"/>
    <col min="5635" max="5635" width="35.7109375" style="23" customWidth="1"/>
    <col min="5636" max="5637" width="12.85546875" style="23" customWidth="1"/>
    <col min="5638" max="5638" width="14.7109375" style="23" customWidth="1"/>
    <col min="5639" max="5639" width="10.7109375" style="23" customWidth="1"/>
    <col min="5640" max="5645" width="11.42578125" style="23"/>
    <col min="5646" max="5646" width="14.42578125" style="23" customWidth="1"/>
    <col min="5647" max="5890" width="11.42578125" style="23"/>
    <col min="5891" max="5891" width="35.7109375" style="23" customWidth="1"/>
    <col min="5892" max="5893" width="12.85546875" style="23" customWidth="1"/>
    <col min="5894" max="5894" width="14.7109375" style="23" customWidth="1"/>
    <col min="5895" max="5895" width="10.7109375" style="23" customWidth="1"/>
    <col min="5896" max="5901" width="11.42578125" style="23"/>
    <col min="5902" max="5902" width="14.42578125" style="23" customWidth="1"/>
    <col min="5903" max="6146" width="11.42578125" style="23"/>
    <col min="6147" max="6147" width="35.7109375" style="23" customWidth="1"/>
    <col min="6148" max="6149" width="12.85546875" style="23" customWidth="1"/>
    <col min="6150" max="6150" width="14.7109375" style="23" customWidth="1"/>
    <col min="6151" max="6151" width="10.7109375" style="23" customWidth="1"/>
    <col min="6152" max="6157" width="11.42578125" style="23"/>
    <col min="6158" max="6158" width="14.42578125" style="23" customWidth="1"/>
    <col min="6159" max="6402" width="11.42578125" style="23"/>
    <col min="6403" max="6403" width="35.7109375" style="23" customWidth="1"/>
    <col min="6404" max="6405" width="12.85546875" style="23" customWidth="1"/>
    <col min="6406" max="6406" width="14.7109375" style="23" customWidth="1"/>
    <col min="6407" max="6407" width="10.7109375" style="23" customWidth="1"/>
    <col min="6408" max="6413" width="11.42578125" style="23"/>
    <col min="6414" max="6414" width="14.42578125" style="23" customWidth="1"/>
    <col min="6415" max="6658" width="11.42578125" style="23"/>
    <col min="6659" max="6659" width="35.7109375" style="23" customWidth="1"/>
    <col min="6660" max="6661" width="12.85546875" style="23" customWidth="1"/>
    <col min="6662" max="6662" width="14.7109375" style="23" customWidth="1"/>
    <col min="6663" max="6663" width="10.7109375" style="23" customWidth="1"/>
    <col min="6664" max="6669" width="11.42578125" style="23"/>
    <col min="6670" max="6670" width="14.42578125" style="23" customWidth="1"/>
    <col min="6671" max="6914" width="11.42578125" style="23"/>
    <col min="6915" max="6915" width="35.7109375" style="23" customWidth="1"/>
    <col min="6916" max="6917" width="12.85546875" style="23" customWidth="1"/>
    <col min="6918" max="6918" width="14.7109375" style="23" customWidth="1"/>
    <col min="6919" max="6919" width="10.7109375" style="23" customWidth="1"/>
    <col min="6920" max="6925" width="11.42578125" style="23"/>
    <col min="6926" max="6926" width="14.42578125" style="23" customWidth="1"/>
    <col min="6927" max="7170" width="11.42578125" style="23"/>
    <col min="7171" max="7171" width="35.7109375" style="23" customWidth="1"/>
    <col min="7172" max="7173" width="12.85546875" style="23" customWidth="1"/>
    <col min="7174" max="7174" width="14.7109375" style="23" customWidth="1"/>
    <col min="7175" max="7175" width="10.7109375" style="23" customWidth="1"/>
    <col min="7176" max="7181" width="11.42578125" style="23"/>
    <col min="7182" max="7182" width="14.42578125" style="23" customWidth="1"/>
    <col min="7183" max="7426" width="11.42578125" style="23"/>
    <col min="7427" max="7427" width="35.7109375" style="23" customWidth="1"/>
    <col min="7428" max="7429" width="12.85546875" style="23" customWidth="1"/>
    <col min="7430" max="7430" width="14.7109375" style="23" customWidth="1"/>
    <col min="7431" max="7431" width="10.7109375" style="23" customWidth="1"/>
    <col min="7432" max="7437" width="11.42578125" style="23"/>
    <col min="7438" max="7438" width="14.42578125" style="23" customWidth="1"/>
    <col min="7439" max="7682" width="11.42578125" style="23"/>
    <col min="7683" max="7683" width="35.7109375" style="23" customWidth="1"/>
    <col min="7684" max="7685" width="12.85546875" style="23" customWidth="1"/>
    <col min="7686" max="7686" width="14.7109375" style="23" customWidth="1"/>
    <col min="7687" max="7687" width="10.7109375" style="23" customWidth="1"/>
    <col min="7688" max="7693" width="11.42578125" style="23"/>
    <col min="7694" max="7694" width="14.42578125" style="23" customWidth="1"/>
    <col min="7695" max="7938" width="11.42578125" style="23"/>
    <col min="7939" max="7939" width="35.7109375" style="23" customWidth="1"/>
    <col min="7940" max="7941" width="12.85546875" style="23" customWidth="1"/>
    <col min="7942" max="7942" width="14.7109375" style="23" customWidth="1"/>
    <col min="7943" max="7943" width="10.7109375" style="23" customWidth="1"/>
    <col min="7944" max="7949" width="11.42578125" style="23"/>
    <col min="7950" max="7950" width="14.42578125" style="23" customWidth="1"/>
    <col min="7951" max="8194" width="11.42578125" style="23"/>
    <col min="8195" max="8195" width="35.7109375" style="23" customWidth="1"/>
    <col min="8196" max="8197" width="12.85546875" style="23" customWidth="1"/>
    <col min="8198" max="8198" width="14.7109375" style="23" customWidth="1"/>
    <col min="8199" max="8199" width="10.7109375" style="23" customWidth="1"/>
    <col min="8200" max="8205" width="11.42578125" style="23"/>
    <col min="8206" max="8206" width="14.42578125" style="23" customWidth="1"/>
    <col min="8207" max="8450" width="11.42578125" style="23"/>
    <col min="8451" max="8451" width="35.7109375" style="23" customWidth="1"/>
    <col min="8452" max="8453" width="12.85546875" style="23" customWidth="1"/>
    <col min="8454" max="8454" width="14.7109375" style="23" customWidth="1"/>
    <col min="8455" max="8455" width="10.7109375" style="23" customWidth="1"/>
    <col min="8456" max="8461" width="11.42578125" style="23"/>
    <col min="8462" max="8462" width="14.42578125" style="23" customWidth="1"/>
    <col min="8463" max="8706" width="11.42578125" style="23"/>
    <col min="8707" max="8707" width="35.7109375" style="23" customWidth="1"/>
    <col min="8708" max="8709" width="12.85546875" style="23" customWidth="1"/>
    <col min="8710" max="8710" width="14.7109375" style="23" customWidth="1"/>
    <col min="8711" max="8711" width="10.7109375" style="23" customWidth="1"/>
    <col min="8712" max="8717" width="11.42578125" style="23"/>
    <col min="8718" max="8718" width="14.42578125" style="23" customWidth="1"/>
    <col min="8719" max="8962" width="11.42578125" style="23"/>
    <col min="8963" max="8963" width="35.7109375" style="23" customWidth="1"/>
    <col min="8964" max="8965" width="12.85546875" style="23" customWidth="1"/>
    <col min="8966" max="8966" width="14.7109375" style="23" customWidth="1"/>
    <col min="8967" max="8967" width="10.7109375" style="23" customWidth="1"/>
    <col min="8968" max="8973" width="11.42578125" style="23"/>
    <col min="8974" max="8974" width="14.42578125" style="23" customWidth="1"/>
    <col min="8975" max="9218" width="11.42578125" style="23"/>
    <col min="9219" max="9219" width="35.7109375" style="23" customWidth="1"/>
    <col min="9220" max="9221" width="12.85546875" style="23" customWidth="1"/>
    <col min="9222" max="9222" width="14.7109375" style="23" customWidth="1"/>
    <col min="9223" max="9223" width="10.7109375" style="23" customWidth="1"/>
    <col min="9224" max="9229" width="11.42578125" style="23"/>
    <col min="9230" max="9230" width="14.42578125" style="23" customWidth="1"/>
    <col min="9231" max="9474" width="11.42578125" style="23"/>
    <col min="9475" max="9475" width="35.7109375" style="23" customWidth="1"/>
    <col min="9476" max="9477" width="12.85546875" style="23" customWidth="1"/>
    <col min="9478" max="9478" width="14.7109375" style="23" customWidth="1"/>
    <col min="9479" max="9479" width="10.7109375" style="23" customWidth="1"/>
    <col min="9480" max="9485" width="11.42578125" style="23"/>
    <col min="9486" max="9486" width="14.42578125" style="23" customWidth="1"/>
    <col min="9487" max="9730" width="11.42578125" style="23"/>
    <col min="9731" max="9731" width="35.7109375" style="23" customWidth="1"/>
    <col min="9732" max="9733" width="12.85546875" style="23" customWidth="1"/>
    <col min="9734" max="9734" width="14.7109375" style="23" customWidth="1"/>
    <col min="9735" max="9735" width="10.7109375" style="23" customWidth="1"/>
    <col min="9736" max="9741" width="11.42578125" style="23"/>
    <col min="9742" max="9742" width="14.42578125" style="23" customWidth="1"/>
    <col min="9743" max="9986" width="11.42578125" style="23"/>
    <col min="9987" max="9987" width="35.7109375" style="23" customWidth="1"/>
    <col min="9988" max="9989" width="12.85546875" style="23" customWidth="1"/>
    <col min="9990" max="9990" width="14.7109375" style="23" customWidth="1"/>
    <col min="9991" max="9991" width="10.7109375" style="23" customWidth="1"/>
    <col min="9992" max="9997" width="11.42578125" style="23"/>
    <col min="9998" max="9998" width="14.42578125" style="23" customWidth="1"/>
    <col min="9999" max="10242" width="11.42578125" style="23"/>
    <col min="10243" max="10243" width="35.7109375" style="23" customWidth="1"/>
    <col min="10244" max="10245" width="12.85546875" style="23" customWidth="1"/>
    <col min="10246" max="10246" width="14.7109375" style="23" customWidth="1"/>
    <col min="10247" max="10247" width="10.7109375" style="23" customWidth="1"/>
    <col min="10248" max="10253" width="11.42578125" style="23"/>
    <col min="10254" max="10254" width="14.42578125" style="23" customWidth="1"/>
    <col min="10255" max="10498" width="11.42578125" style="23"/>
    <col min="10499" max="10499" width="35.7109375" style="23" customWidth="1"/>
    <col min="10500" max="10501" width="12.85546875" style="23" customWidth="1"/>
    <col min="10502" max="10502" width="14.7109375" style="23" customWidth="1"/>
    <col min="10503" max="10503" width="10.7109375" style="23" customWidth="1"/>
    <col min="10504" max="10509" width="11.42578125" style="23"/>
    <col min="10510" max="10510" width="14.42578125" style="23" customWidth="1"/>
    <col min="10511" max="10754" width="11.42578125" style="23"/>
    <col min="10755" max="10755" width="35.7109375" style="23" customWidth="1"/>
    <col min="10756" max="10757" width="12.85546875" style="23" customWidth="1"/>
    <col min="10758" max="10758" width="14.7109375" style="23" customWidth="1"/>
    <col min="10759" max="10759" width="10.7109375" style="23" customWidth="1"/>
    <col min="10760" max="10765" width="11.42578125" style="23"/>
    <col min="10766" max="10766" width="14.42578125" style="23" customWidth="1"/>
    <col min="10767" max="11010" width="11.42578125" style="23"/>
    <col min="11011" max="11011" width="35.7109375" style="23" customWidth="1"/>
    <col min="11012" max="11013" width="12.85546875" style="23" customWidth="1"/>
    <col min="11014" max="11014" width="14.7109375" style="23" customWidth="1"/>
    <col min="11015" max="11015" width="10.7109375" style="23" customWidth="1"/>
    <col min="11016" max="11021" width="11.42578125" style="23"/>
    <col min="11022" max="11022" width="14.42578125" style="23" customWidth="1"/>
    <col min="11023" max="11266" width="11.42578125" style="23"/>
    <col min="11267" max="11267" width="35.7109375" style="23" customWidth="1"/>
    <col min="11268" max="11269" width="12.85546875" style="23" customWidth="1"/>
    <col min="11270" max="11270" width="14.7109375" style="23" customWidth="1"/>
    <col min="11271" max="11271" width="10.7109375" style="23" customWidth="1"/>
    <col min="11272" max="11277" width="11.42578125" style="23"/>
    <col min="11278" max="11278" width="14.42578125" style="23" customWidth="1"/>
    <col min="11279" max="11522" width="11.42578125" style="23"/>
    <col min="11523" max="11523" width="35.7109375" style="23" customWidth="1"/>
    <col min="11524" max="11525" width="12.85546875" style="23" customWidth="1"/>
    <col min="11526" max="11526" width="14.7109375" style="23" customWidth="1"/>
    <col min="11527" max="11527" width="10.7109375" style="23" customWidth="1"/>
    <col min="11528" max="11533" width="11.42578125" style="23"/>
    <col min="11534" max="11534" width="14.42578125" style="23" customWidth="1"/>
    <col min="11535" max="11778" width="11.42578125" style="23"/>
    <col min="11779" max="11779" width="35.7109375" style="23" customWidth="1"/>
    <col min="11780" max="11781" width="12.85546875" style="23" customWidth="1"/>
    <col min="11782" max="11782" width="14.7109375" style="23" customWidth="1"/>
    <col min="11783" max="11783" width="10.7109375" style="23" customWidth="1"/>
    <col min="11784" max="11789" width="11.42578125" style="23"/>
    <col min="11790" max="11790" width="14.42578125" style="23" customWidth="1"/>
    <col min="11791" max="12034" width="11.42578125" style="23"/>
    <col min="12035" max="12035" width="35.7109375" style="23" customWidth="1"/>
    <col min="12036" max="12037" width="12.85546875" style="23" customWidth="1"/>
    <col min="12038" max="12038" width="14.7109375" style="23" customWidth="1"/>
    <col min="12039" max="12039" width="10.7109375" style="23" customWidth="1"/>
    <col min="12040" max="12045" width="11.42578125" style="23"/>
    <col min="12046" max="12046" width="14.42578125" style="23" customWidth="1"/>
    <col min="12047" max="12290" width="11.42578125" style="23"/>
    <col min="12291" max="12291" width="35.7109375" style="23" customWidth="1"/>
    <col min="12292" max="12293" width="12.85546875" style="23" customWidth="1"/>
    <col min="12294" max="12294" width="14.7109375" style="23" customWidth="1"/>
    <col min="12295" max="12295" width="10.7109375" style="23" customWidth="1"/>
    <col min="12296" max="12301" width="11.42578125" style="23"/>
    <col min="12302" max="12302" width="14.42578125" style="23" customWidth="1"/>
    <col min="12303" max="12546" width="11.42578125" style="23"/>
    <col min="12547" max="12547" width="35.7109375" style="23" customWidth="1"/>
    <col min="12548" max="12549" width="12.85546875" style="23" customWidth="1"/>
    <col min="12550" max="12550" width="14.7109375" style="23" customWidth="1"/>
    <col min="12551" max="12551" width="10.7109375" style="23" customWidth="1"/>
    <col min="12552" max="12557" width="11.42578125" style="23"/>
    <col min="12558" max="12558" width="14.42578125" style="23" customWidth="1"/>
    <col min="12559" max="12802" width="11.42578125" style="23"/>
    <col min="12803" max="12803" width="35.7109375" style="23" customWidth="1"/>
    <col min="12804" max="12805" width="12.85546875" style="23" customWidth="1"/>
    <col min="12806" max="12806" width="14.7109375" style="23" customWidth="1"/>
    <col min="12807" max="12807" width="10.7109375" style="23" customWidth="1"/>
    <col min="12808" max="12813" width="11.42578125" style="23"/>
    <col min="12814" max="12814" width="14.42578125" style="23" customWidth="1"/>
    <col min="12815" max="13058" width="11.42578125" style="23"/>
    <col min="13059" max="13059" width="35.7109375" style="23" customWidth="1"/>
    <col min="13060" max="13061" width="12.85546875" style="23" customWidth="1"/>
    <col min="13062" max="13062" width="14.7109375" style="23" customWidth="1"/>
    <col min="13063" max="13063" width="10.7109375" style="23" customWidth="1"/>
    <col min="13064" max="13069" width="11.42578125" style="23"/>
    <col min="13070" max="13070" width="14.42578125" style="23" customWidth="1"/>
    <col min="13071" max="13314" width="11.42578125" style="23"/>
    <col min="13315" max="13315" width="35.7109375" style="23" customWidth="1"/>
    <col min="13316" max="13317" width="12.85546875" style="23" customWidth="1"/>
    <col min="13318" max="13318" width="14.7109375" style="23" customWidth="1"/>
    <col min="13319" max="13319" width="10.7109375" style="23" customWidth="1"/>
    <col min="13320" max="13325" width="11.42578125" style="23"/>
    <col min="13326" max="13326" width="14.42578125" style="23" customWidth="1"/>
    <col min="13327" max="13570" width="11.42578125" style="23"/>
    <col min="13571" max="13571" width="35.7109375" style="23" customWidth="1"/>
    <col min="13572" max="13573" width="12.85546875" style="23" customWidth="1"/>
    <col min="13574" max="13574" width="14.7109375" style="23" customWidth="1"/>
    <col min="13575" max="13575" width="10.7109375" style="23" customWidth="1"/>
    <col min="13576" max="13581" width="11.42578125" style="23"/>
    <col min="13582" max="13582" width="14.42578125" style="23" customWidth="1"/>
    <col min="13583" max="13826" width="11.42578125" style="23"/>
    <col min="13827" max="13827" width="35.7109375" style="23" customWidth="1"/>
    <col min="13828" max="13829" width="12.85546875" style="23" customWidth="1"/>
    <col min="13830" max="13830" width="14.7109375" style="23" customWidth="1"/>
    <col min="13831" max="13831" width="10.7109375" style="23" customWidth="1"/>
    <col min="13832" max="13837" width="11.42578125" style="23"/>
    <col min="13838" max="13838" width="14.42578125" style="23" customWidth="1"/>
    <col min="13839" max="14082" width="11.42578125" style="23"/>
    <col min="14083" max="14083" width="35.7109375" style="23" customWidth="1"/>
    <col min="14084" max="14085" width="12.85546875" style="23" customWidth="1"/>
    <col min="14086" max="14086" width="14.7109375" style="23" customWidth="1"/>
    <col min="14087" max="14087" width="10.7109375" style="23" customWidth="1"/>
    <col min="14088" max="14093" width="11.42578125" style="23"/>
    <col min="14094" max="14094" width="14.42578125" style="23" customWidth="1"/>
    <col min="14095" max="14338" width="11.42578125" style="23"/>
    <col min="14339" max="14339" width="35.7109375" style="23" customWidth="1"/>
    <col min="14340" max="14341" width="12.85546875" style="23" customWidth="1"/>
    <col min="14342" max="14342" width="14.7109375" style="23" customWidth="1"/>
    <col min="14343" max="14343" width="10.7109375" style="23" customWidth="1"/>
    <col min="14344" max="14349" width="11.42578125" style="23"/>
    <col min="14350" max="14350" width="14.42578125" style="23" customWidth="1"/>
    <col min="14351" max="14594" width="11.42578125" style="23"/>
    <col min="14595" max="14595" width="35.7109375" style="23" customWidth="1"/>
    <col min="14596" max="14597" width="12.85546875" style="23" customWidth="1"/>
    <col min="14598" max="14598" width="14.7109375" style="23" customWidth="1"/>
    <col min="14599" max="14599" width="10.7109375" style="23" customWidth="1"/>
    <col min="14600" max="14605" width="11.42578125" style="23"/>
    <col min="14606" max="14606" width="14.42578125" style="23" customWidth="1"/>
    <col min="14607" max="14850" width="11.42578125" style="23"/>
    <col min="14851" max="14851" width="35.7109375" style="23" customWidth="1"/>
    <col min="14852" max="14853" width="12.85546875" style="23" customWidth="1"/>
    <col min="14854" max="14854" width="14.7109375" style="23" customWidth="1"/>
    <col min="14855" max="14855" width="10.7109375" style="23" customWidth="1"/>
    <col min="14856" max="14861" width="11.42578125" style="23"/>
    <col min="14862" max="14862" width="14.42578125" style="23" customWidth="1"/>
    <col min="14863" max="15106" width="11.42578125" style="23"/>
    <col min="15107" max="15107" width="35.7109375" style="23" customWidth="1"/>
    <col min="15108" max="15109" width="12.85546875" style="23" customWidth="1"/>
    <col min="15110" max="15110" width="14.7109375" style="23" customWidth="1"/>
    <col min="15111" max="15111" width="10.7109375" style="23" customWidth="1"/>
    <col min="15112" max="15117" width="11.42578125" style="23"/>
    <col min="15118" max="15118" width="14.42578125" style="23" customWidth="1"/>
    <col min="15119" max="15362" width="11.42578125" style="23"/>
    <col min="15363" max="15363" width="35.7109375" style="23" customWidth="1"/>
    <col min="15364" max="15365" width="12.85546875" style="23" customWidth="1"/>
    <col min="15366" max="15366" width="14.7109375" style="23" customWidth="1"/>
    <col min="15367" max="15367" width="10.7109375" style="23" customWidth="1"/>
    <col min="15368" max="15373" width="11.42578125" style="23"/>
    <col min="15374" max="15374" width="14.42578125" style="23" customWidth="1"/>
    <col min="15375" max="15618" width="11.42578125" style="23"/>
    <col min="15619" max="15619" width="35.7109375" style="23" customWidth="1"/>
    <col min="15620" max="15621" width="12.85546875" style="23" customWidth="1"/>
    <col min="15622" max="15622" width="14.7109375" style="23" customWidth="1"/>
    <col min="15623" max="15623" width="10.7109375" style="23" customWidth="1"/>
    <col min="15624" max="15629" width="11.42578125" style="23"/>
    <col min="15630" max="15630" width="14.42578125" style="23" customWidth="1"/>
    <col min="15631" max="15874" width="11.42578125" style="23"/>
    <col min="15875" max="15875" width="35.7109375" style="23" customWidth="1"/>
    <col min="15876" max="15877" width="12.85546875" style="23" customWidth="1"/>
    <col min="15878" max="15878" width="14.7109375" style="23" customWidth="1"/>
    <col min="15879" max="15879" width="10.7109375" style="23" customWidth="1"/>
    <col min="15880" max="15885" width="11.42578125" style="23"/>
    <col min="15886" max="15886" width="14.42578125" style="23" customWidth="1"/>
    <col min="15887" max="16130" width="11.42578125" style="23"/>
    <col min="16131" max="16131" width="35.7109375" style="23" customWidth="1"/>
    <col min="16132" max="16133" width="12.85546875" style="23" customWidth="1"/>
    <col min="16134" max="16134" width="14.7109375" style="23" customWidth="1"/>
    <col min="16135" max="16135" width="10.7109375" style="23" customWidth="1"/>
    <col min="16136" max="16141" width="11.42578125" style="23"/>
    <col min="16142" max="16142" width="14.42578125" style="23" customWidth="1"/>
    <col min="16143" max="16384" width="11.42578125" style="23"/>
  </cols>
  <sheetData>
    <row r="10" spans="3:6" ht="25.5" customHeight="1">
      <c r="C10" s="246" t="s">
        <v>279</v>
      </c>
      <c r="D10" s="247"/>
      <c r="E10" s="247"/>
      <c r="F10" s="248"/>
    </row>
    <row r="11" spans="3:6" ht="35.25" customHeight="1">
      <c r="C11" s="30" t="s">
        <v>26</v>
      </c>
      <c r="D11" s="31" t="str">
        <f>actualizaciones!A3</f>
        <v>acumulado julio 2009</v>
      </c>
      <c r="E11" s="31" t="str">
        <f>actualizaciones!A2</f>
        <v xml:space="preserve">acumulado julio 2010 </v>
      </c>
      <c r="F11" s="397" t="s">
        <v>280</v>
      </c>
    </row>
    <row r="12" spans="3:6">
      <c r="C12" s="33" t="s">
        <v>281</v>
      </c>
      <c r="D12" s="398">
        <f>'[1]tabla dinámica municipios'!$K$298</f>
        <v>8.1532598605680882</v>
      </c>
      <c r="E12" s="398">
        <f>'[1]tabla dinámica municipios'!$U$298</f>
        <v>7.8662886756998951</v>
      </c>
      <c r="F12" s="399">
        <f>E12-D12</f>
        <v>-0.28697118486819306</v>
      </c>
    </row>
    <row r="13" spans="3:6">
      <c r="C13" s="37" t="s">
        <v>282</v>
      </c>
      <c r="D13" s="400">
        <f>'[1]tabla dinámica municipios'!$J$298</f>
        <v>7.8624342994195553</v>
      </c>
      <c r="E13" s="400">
        <f>'[1]tabla dinámica municipios'!$T$298</f>
        <v>7.5495798162773262</v>
      </c>
      <c r="F13" s="401">
        <f>E13-D13</f>
        <v>-0.31285448314222908</v>
      </c>
    </row>
    <row r="14" spans="3:6">
      <c r="C14" s="337" t="s">
        <v>283</v>
      </c>
      <c r="D14" s="402">
        <f>'[1]tabla dinámica municipios'!$I$298</f>
        <v>8.6704294442486187</v>
      </c>
      <c r="E14" s="402">
        <f>'[1]tabla dinámica municipios'!$S$298</f>
        <v>8.4760431611669063</v>
      </c>
      <c r="F14" s="403">
        <f>E14-D14</f>
        <v>-0.19438628308171246</v>
      </c>
    </row>
    <row r="15" spans="3:6">
      <c r="C15" s="42" t="s">
        <v>32</v>
      </c>
      <c r="D15" s="43"/>
      <c r="E15" s="43"/>
      <c r="F15" s="44"/>
    </row>
    <row r="28" spans="2:12"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</row>
  </sheetData>
  <mergeCells count="1">
    <mergeCell ref="C10:F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6:L22"/>
  <sheetViews>
    <sheetView showGridLines="0" showRowColHeaders="0" showOutlineSymbols="0" zoomScaleNormal="100" workbookViewId="0">
      <selection activeCell="B25" sqref="B25"/>
    </sheetView>
  </sheetViews>
  <sheetFormatPr baseColWidth="10" defaultRowHeight="12.75"/>
  <cols>
    <col min="1" max="1" width="13.5703125" style="23" customWidth="1"/>
    <col min="2" max="2" width="35.7109375" style="23" customWidth="1"/>
    <col min="3" max="4" width="12.85546875" style="23" customWidth="1"/>
    <col min="5" max="5" width="13.7109375" style="23" customWidth="1"/>
    <col min="6" max="6" width="10.7109375" style="23" customWidth="1"/>
    <col min="7" max="12" width="11.42578125" style="23"/>
    <col min="13" max="13" width="14.42578125" style="23" customWidth="1"/>
    <col min="14" max="256" width="11.42578125" style="23"/>
    <col min="257" max="257" width="13.5703125" style="23" customWidth="1"/>
    <col min="258" max="258" width="35.7109375" style="23" customWidth="1"/>
    <col min="259" max="260" width="12.85546875" style="23" customWidth="1"/>
    <col min="261" max="261" width="13.7109375" style="23" customWidth="1"/>
    <col min="262" max="262" width="10.7109375" style="23" customWidth="1"/>
    <col min="263" max="268" width="11.42578125" style="23"/>
    <col min="269" max="269" width="14.42578125" style="23" customWidth="1"/>
    <col min="270" max="512" width="11.42578125" style="23"/>
    <col min="513" max="513" width="13.5703125" style="23" customWidth="1"/>
    <col min="514" max="514" width="35.7109375" style="23" customWidth="1"/>
    <col min="515" max="516" width="12.85546875" style="23" customWidth="1"/>
    <col min="517" max="517" width="13.7109375" style="23" customWidth="1"/>
    <col min="518" max="518" width="10.7109375" style="23" customWidth="1"/>
    <col min="519" max="524" width="11.42578125" style="23"/>
    <col min="525" max="525" width="14.42578125" style="23" customWidth="1"/>
    <col min="526" max="768" width="11.42578125" style="23"/>
    <col min="769" max="769" width="13.5703125" style="23" customWidth="1"/>
    <col min="770" max="770" width="35.7109375" style="23" customWidth="1"/>
    <col min="771" max="772" width="12.85546875" style="23" customWidth="1"/>
    <col min="773" max="773" width="13.7109375" style="23" customWidth="1"/>
    <col min="774" max="774" width="10.7109375" style="23" customWidth="1"/>
    <col min="775" max="780" width="11.42578125" style="23"/>
    <col min="781" max="781" width="14.42578125" style="23" customWidth="1"/>
    <col min="782" max="1024" width="11.42578125" style="23"/>
    <col min="1025" max="1025" width="13.5703125" style="23" customWidth="1"/>
    <col min="1026" max="1026" width="35.7109375" style="23" customWidth="1"/>
    <col min="1027" max="1028" width="12.85546875" style="23" customWidth="1"/>
    <col min="1029" max="1029" width="13.7109375" style="23" customWidth="1"/>
    <col min="1030" max="1030" width="10.7109375" style="23" customWidth="1"/>
    <col min="1031" max="1036" width="11.42578125" style="23"/>
    <col min="1037" max="1037" width="14.42578125" style="23" customWidth="1"/>
    <col min="1038" max="1280" width="11.42578125" style="23"/>
    <col min="1281" max="1281" width="13.5703125" style="23" customWidth="1"/>
    <col min="1282" max="1282" width="35.7109375" style="23" customWidth="1"/>
    <col min="1283" max="1284" width="12.85546875" style="23" customWidth="1"/>
    <col min="1285" max="1285" width="13.7109375" style="23" customWidth="1"/>
    <col min="1286" max="1286" width="10.7109375" style="23" customWidth="1"/>
    <col min="1287" max="1292" width="11.42578125" style="23"/>
    <col min="1293" max="1293" width="14.42578125" style="23" customWidth="1"/>
    <col min="1294" max="1536" width="11.42578125" style="23"/>
    <col min="1537" max="1537" width="13.5703125" style="23" customWidth="1"/>
    <col min="1538" max="1538" width="35.7109375" style="23" customWidth="1"/>
    <col min="1539" max="1540" width="12.85546875" style="23" customWidth="1"/>
    <col min="1541" max="1541" width="13.7109375" style="23" customWidth="1"/>
    <col min="1542" max="1542" width="10.7109375" style="23" customWidth="1"/>
    <col min="1543" max="1548" width="11.42578125" style="23"/>
    <col min="1549" max="1549" width="14.42578125" style="23" customWidth="1"/>
    <col min="1550" max="1792" width="11.42578125" style="23"/>
    <col min="1793" max="1793" width="13.5703125" style="23" customWidth="1"/>
    <col min="1794" max="1794" width="35.7109375" style="23" customWidth="1"/>
    <col min="1795" max="1796" width="12.85546875" style="23" customWidth="1"/>
    <col min="1797" max="1797" width="13.7109375" style="23" customWidth="1"/>
    <col min="1798" max="1798" width="10.7109375" style="23" customWidth="1"/>
    <col min="1799" max="1804" width="11.42578125" style="23"/>
    <col min="1805" max="1805" width="14.42578125" style="23" customWidth="1"/>
    <col min="1806" max="2048" width="11.42578125" style="23"/>
    <col min="2049" max="2049" width="13.5703125" style="23" customWidth="1"/>
    <col min="2050" max="2050" width="35.7109375" style="23" customWidth="1"/>
    <col min="2051" max="2052" width="12.85546875" style="23" customWidth="1"/>
    <col min="2053" max="2053" width="13.7109375" style="23" customWidth="1"/>
    <col min="2054" max="2054" width="10.7109375" style="23" customWidth="1"/>
    <col min="2055" max="2060" width="11.42578125" style="23"/>
    <col min="2061" max="2061" width="14.42578125" style="23" customWidth="1"/>
    <col min="2062" max="2304" width="11.42578125" style="23"/>
    <col min="2305" max="2305" width="13.5703125" style="23" customWidth="1"/>
    <col min="2306" max="2306" width="35.7109375" style="23" customWidth="1"/>
    <col min="2307" max="2308" width="12.85546875" style="23" customWidth="1"/>
    <col min="2309" max="2309" width="13.7109375" style="23" customWidth="1"/>
    <col min="2310" max="2310" width="10.7109375" style="23" customWidth="1"/>
    <col min="2311" max="2316" width="11.42578125" style="23"/>
    <col min="2317" max="2317" width="14.42578125" style="23" customWidth="1"/>
    <col min="2318" max="2560" width="11.42578125" style="23"/>
    <col min="2561" max="2561" width="13.5703125" style="23" customWidth="1"/>
    <col min="2562" max="2562" width="35.7109375" style="23" customWidth="1"/>
    <col min="2563" max="2564" width="12.85546875" style="23" customWidth="1"/>
    <col min="2565" max="2565" width="13.7109375" style="23" customWidth="1"/>
    <col min="2566" max="2566" width="10.7109375" style="23" customWidth="1"/>
    <col min="2567" max="2572" width="11.42578125" style="23"/>
    <col min="2573" max="2573" width="14.42578125" style="23" customWidth="1"/>
    <col min="2574" max="2816" width="11.42578125" style="23"/>
    <col min="2817" max="2817" width="13.5703125" style="23" customWidth="1"/>
    <col min="2818" max="2818" width="35.7109375" style="23" customWidth="1"/>
    <col min="2819" max="2820" width="12.85546875" style="23" customWidth="1"/>
    <col min="2821" max="2821" width="13.7109375" style="23" customWidth="1"/>
    <col min="2822" max="2822" width="10.7109375" style="23" customWidth="1"/>
    <col min="2823" max="2828" width="11.42578125" style="23"/>
    <col min="2829" max="2829" width="14.42578125" style="23" customWidth="1"/>
    <col min="2830" max="3072" width="11.42578125" style="23"/>
    <col min="3073" max="3073" width="13.5703125" style="23" customWidth="1"/>
    <col min="3074" max="3074" width="35.7109375" style="23" customWidth="1"/>
    <col min="3075" max="3076" width="12.85546875" style="23" customWidth="1"/>
    <col min="3077" max="3077" width="13.7109375" style="23" customWidth="1"/>
    <col min="3078" max="3078" width="10.7109375" style="23" customWidth="1"/>
    <col min="3079" max="3084" width="11.42578125" style="23"/>
    <col min="3085" max="3085" width="14.42578125" style="23" customWidth="1"/>
    <col min="3086" max="3328" width="11.42578125" style="23"/>
    <col min="3329" max="3329" width="13.5703125" style="23" customWidth="1"/>
    <col min="3330" max="3330" width="35.7109375" style="23" customWidth="1"/>
    <col min="3331" max="3332" width="12.85546875" style="23" customWidth="1"/>
    <col min="3333" max="3333" width="13.7109375" style="23" customWidth="1"/>
    <col min="3334" max="3334" width="10.7109375" style="23" customWidth="1"/>
    <col min="3335" max="3340" width="11.42578125" style="23"/>
    <col min="3341" max="3341" width="14.42578125" style="23" customWidth="1"/>
    <col min="3342" max="3584" width="11.42578125" style="23"/>
    <col min="3585" max="3585" width="13.5703125" style="23" customWidth="1"/>
    <col min="3586" max="3586" width="35.7109375" style="23" customWidth="1"/>
    <col min="3587" max="3588" width="12.85546875" style="23" customWidth="1"/>
    <col min="3589" max="3589" width="13.7109375" style="23" customWidth="1"/>
    <col min="3590" max="3590" width="10.7109375" style="23" customWidth="1"/>
    <col min="3591" max="3596" width="11.42578125" style="23"/>
    <col min="3597" max="3597" width="14.42578125" style="23" customWidth="1"/>
    <col min="3598" max="3840" width="11.42578125" style="23"/>
    <col min="3841" max="3841" width="13.5703125" style="23" customWidth="1"/>
    <col min="3842" max="3842" width="35.7109375" style="23" customWidth="1"/>
    <col min="3843" max="3844" width="12.85546875" style="23" customWidth="1"/>
    <col min="3845" max="3845" width="13.7109375" style="23" customWidth="1"/>
    <col min="3846" max="3846" width="10.7109375" style="23" customWidth="1"/>
    <col min="3847" max="3852" width="11.42578125" style="23"/>
    <col min="3853" max="3853" width="14.42578125" style="23" customWidth="1"/>
    <col min="3854" max="4096" width="11.42578125" style="23"/>
    <col min="4097" max="4097" width="13.5703125" style="23" customWidth="1"/>
    <col min="4098" max="4098" width="35.7109375" style="23" customWidth="1"/>
    <col min="4099" max="4100" width="12.85546875" style="23" customWidth="1"/>
    <col min="4101" max="4101" width="13.7109375" style="23" customWidth="1"/>
    <col min="4102" max="4102" width="10.7109375" style="23" customWidth="1"/>
    <col min="4103" max="4108" width="11.42578125" style="23"/>
    <col min="4109" max="4109" width="14.42578125" style="23" customWidth="1"/>
    <col min="4110" max="4352" width="11.42578125" style="23"/>
    <col min="4353" max="4353" width="13.5703125" style="23" customWidth="1"/>
    <col min="4354" max="4354" width="35.7109375" style="23" customWidth="1"/>
    <col min="4355" max="4356" width="12.85546875" style="23" customWidth="1"/>
    <col min="4357" max="4357" width="13.7109375" style="23" customWidth="1"/>
    <col min="4358" max="4358" width="10.7109375" style="23" customWidth="1"/>
    <col min="4359" max="4364" width="11.42578125" style="23"/>
    <col min="4365" max="4365" width="14.42578125" style="23" customWidth="1"/>
    <col min="4366" max="4608" width="11.42578125" style="23"/>
    <col min="4609" max="4609" width="13.5703125" style="23" customWidth="1"/>
    <col min="4610" max="4610" width="35.7109375" style="23" customWidth="1"/>
    <col min="4611" max="4612" width="12.85546875" style="23" customWidth="1"/>
    <col min="4613" max="4613" width="13.7109375" style="23" customWidth="1"/>
    <col min="4614" max="4614" width="10.7109375" style="23" customWidth="1"/>
    <col min="4615" max="4620" width="11.42578125" style="23"/>
    <col min="4621" max="4621" width="14.42578125" style="23" customWidth="1"/>
    <col min="4622" max="4864" width="11.42578125" style="23"/>
    <col min="4865" max="4865" width="13.5703125" style="23" customWidth="1"/>
    <col min="4866" max="4866" width="35.7109375" style="23" customWidth="1"/>
    <col min="4867" max="4868" width="12.85546875" style="23" customWidth="1"/>
    <col min="4869" max="4869" width="13.7109375" style="23" customWidth="1"/>
    <col min="4870" max="4870" width="10.7109375" style="23" customWidth="1"/>
    <col min="4871" max="4876" width="11.42578125" style="23"/>
    <col min="4877" max="4877" width="14.42578125" style="23" customWidth="1"/>
    <col min="4878" max="5120" width="11.42578125" style="23"/>
    <col min="5121" max="5121" width="13.5703125" style="23" customWidth="1"/>
    <col min="5122" max="5122" width="35.7109375" style="23" customWidth="1"/>
    <col min="5123" max="5124" width="12.85546875" style="23" customWidth="1"/>
    <col min="5125" max="5125" width="13.7109375" style="23" customWidth="1"/>
    <col min="5126" max="5126" width="10.7109375" style="23" customWidth="1"/>
    <col min="5127" max="5132" width="11.42578125" style="23"/>
    <col min="5133" max="5133" width="14.42578125" style="23" customWidth="1"/>
    <col min="5134" max="5376" width="11.42578125" style="23"/>
    <col min="5377" max="5377" width="13.5703125" style="23" customWidth="1"/>
    <col min="5378" max="5378" width="35.7109375" style="23" customWidth="1"/>
    <col min="5379" max="5380" width="12.85546875" style="23" customWidth="1"/>
    <col min="5381" max="5381" width="13.7109375" style="23" customWidth="1"/>
    <col min="5382" max="5382" width="10.7109375" style="23" customWidth="1"/>
    <col min="5383" max="5388" width="11.42578125" style="23"/>
    <col min="5389" max="5389" width="14.42578125" style="23" customWidth="1"/>
    <col min="5390" max="5632" width="11.42578125" style="23"/>
    <col min="5633" max="5633" width="13.5703125" style="23" customWidth="1"/>
    <col min="5634" max="5634" width="35.7109375" style="23" customWidth="1"/>
    <col min="5635" max="5636" width="12.85546875" style="23" customWidth="1"/>
    <col min="5637" max="5637" width="13.7109375" style="23" customWidth="1"/>
    <col min="5638" max="5638" width="10.7109375" style="23" customWidth="1"/>
    <col min="5639" max="5644" width="11.42578125" style="23"/>
    <col min="5645" max="5645" width="14.42578125" style="23" customWidth="1"/>
    <col min="5646" max="5888" width="11.42578125" style="23"/>
    <col min="5889" max="5889" width="13.5703125" style="23" customWidth="1"/>
    <col min="5890" max="5890" width="35.7109375" style="23" customWidth="1"/>
    <col min="5891" max="5892" width="12.85546875" style="23" customWidth="1"/>
    <col min="5893" max="5893" width="13.7109375" style="23" customWidth="1"/>
    <col min="5894" max="5894" width="10.7109375" style="23" customWidth="1"/>
    <col min="5895" max="5900" width="11.42578125" style="23"/>
    <col min="5901" max="5901" width="14.42578125" style="23" customWidth="1"/>
    <col min="5902" max="6144" width="11.42578125" style="23"/>
    <col min="6145" max="6145" width="13.5703125" style="23" customWidth="1"/>
    <col min="6146" max="6146" width="35.7109375" style="23" customWidth="1"/>
    <col min="6147" max="6148" width="12.85546875" style="23" customWidth="1"/>
    <col min="6149" max="6149" width="13.7109375" style="23" customWidth="1"/>
    <col min="6150" max="6150" width="10.7109375" style="23" customWidth="1"/>
    <col min="6151" max="6156" width="11.42578125" style="23"/>
    <col min="6157" max="6157" width="14.42578125" style="23" customWidth="1"/>
    <col min="6158" max="6400" width="11.42578125" style="23"/>
    <col min="6401" max="6401" width="13.5703125" style="23" customWidth="1"/>
    <col min="6402" max="6402" width="35.7109375" style="23" customWidth="1"/>
    <col min="6403" max="6404" width="12.85546875" style="23" customWidth="1"/>
    <col min="6405" max="6405" width="13.7109375" style="23" customWidth="1"/>
    <col min="6406" max="6406" width="10.7109375" style="23" customWidth="1"/>
    <col min="6407" max="6412" width="11.42578125" style="23"/>
    <col min="6413" max="6413" width="14.42578125" style="23" customWidth="1"/>
    <col min="6414" max="6656" width="11.42578125" style="23"/>
    <col min="6657" max="6657" width="13.5703125" style="23" customWidth="1"/>
    <col min="6658" max="6658" width="35.7109375" style="23" customWidth="1"/>
    <col min="6659" max="6660" width="12.85546875" style="23" customWidth="1"/>
    <col min="6661" max="6661" width="13.7109375" style="23" customWidth="1"/>
    <col min="6662" max="6662" width="10.7109375" style="23" customWidth="1"/>
    <col min="6663" max="6668" width="11.42578125" style="23"/>
    <col min="6669" max="6669" width="14.42578125" style="23" customWidth="1"/>
    <col min="6670" max="6912" width="11.42578125" style="23"/>
    <col min="6913" max="6913" width="13.5703125" style="23" customWidth="1"/>
    <col min="6914" max="6914" width="35.7109375" style="23" customWidth="1"/>
    <col min="6915" max="6916" width="12.85546875" style="23" customWidth="1"/>
    <col min="6917" max="6917" width="13.7109375" style="23" customWidth="1"/>
    <col min="6918" max="6918" width="10.7109375" style="23" customWidth="1"/>
    <col min="6919" max="6924" width="11.42578125" style="23"/>
    <col min="6925" max="6925" width="14.42578125" style="23" customWidth="1"/>
    <col min="6926" max="7168" width="11.42578125" style="23"/>
    <col min="7169" max="7169" width="13.5703125" style="23" customWidth="1"/>
    <col min="7170" max="7170" width="35.7109375" style="23" customWidth="1"/>
    <col min="7171" max="7172" width="12.85546875" style="23" customWidth="1"/>
    <col min="7173" max="7173" width="13.7109375" style="23" customWidth="1"/>
    <col min="7174" max="7174" width="10.7109375" style="23" customWidth="1"/>
    <col min="7175" max="7180" width="11.42578125" style="23"/>
    <col min="7181" max="7181" width="14.42578125" style="23" customWidth="1"/>
    <col min="7182" max="7424" width="11.42578125" style="23"/>
    <col min="7425" max="7425" width="13.5703125" style="23" customWidth="1"/>
    <col min="7426" max="7426" width="35.7109375" style="23" customWidth="1"/>
    <col min="7427" max="7428" width="12.85546875" style="23" customWidth="1"/>
    <col min="7429" max="7429" width="13.7109375" style="23" customWidth="1"/>
    <col min="7430" max="7430" width="10.7109375" style="23" customWidth="1"/>
    <col min="7431" max="7436" width="11.42578125" style="23"/>
    <col min="7437" max="7437" width="14.42578125" style="23" customWidth="1"/>
    <col min="7438" max="7680" width="11.42578125" style="23"/>
    <col min="7681" max="7681" width="13.5703125" style="23" customWidth="1"/>
    <col min="7682" max="7682" width="35.7109375" style="23" customWidth="1"/>
    <col min="7683" max="7684" width="12.85546875" style="23" customWidth="1"/>
    <col min="7685" max="7685" width="13.7109375" style="23" customWidth="1"/>
    <col min="7686" max="7686" width="10.7109375" style="23" customWidth="1"/>
    <col min="7687" max="7692" width="11.42578125" style="23"/>
    <col min="7693" max="7693" width="14.42578125" style="23" customWidth="1"/>
    <col min="7694" max="7936" width="11.42578125" style="23"/>
    <col min="7937" max="7937" width="13.5703125" style="23" customWidth="1"/>
    <col min="7938" max="7938" width="35.7109375" style="23" customWidth="1"/>
    <col min="7939" max="7940" width="12.85546875" style="23" customWidth="1"/>
    <col min="7941" max="7941" width="13.7109375" style="23" customWidth="1"/>
    <col min="7942" max="7942" width="10.7109375" style="23" customWidth="1"/>
    <col min="7943" max="7948" width="11.42578125" style="23"/>
    <col min="7949" max="7949" width="14.42578125" style="23" customWidth="1"/>
    <col min="7950" max="8192" width="11.42578125" style="23"/>
    <col min="8193" max="8193" width="13.5703125" style="23" customWidth="1"/>
    <col min="8194" max="8194" width="35.7109375" style="23" customWidth="1"/>
    <col min="8195" max="8196" width="12.85546875" style="23" customWidth="1"/>
    <col min="8197" max="8197" width="13.7109375" style="23" customWidth="1"/>
    <col min="8198" max="8198" width="10.7109375" style="23" customWidth="1"/>
    <col min="8199" max="8204" width="11.42578125" style="23"/>
    <col min="8205" max="8205" width="14.42578125" style="23" customWidth="1"/>
    <col min="8206" max="8448" width="11.42578125" style="23"/>
    <col min="8449" max="8449" width="13.5703125" style="23" customWidth="1"/>
    <col min="8450" max="8450" width="35.7109375" style="23" customWidth="1"/>
    <col min="8451" max="8452" width="12.85546875" style="23" customWidth="1"/>
    <col min="8453" max="8453" width="13.7109375" style="23" customWidth="1"/>
    <col min="8454" max="8454" width="10.7109375" style="23" customWidth="1"/>
    <col min="8455" max="8460" width="11.42578125" style="23"/>
    <col min="8461" max="8461" width="14.42578125" style="23" customWidth="1"/>
    <col min="8462" max="8704" width="11.42578125" style="23"/>
    <col min="8705" max="8705" width="13.5703125" style="23" customWidth="1"/>
    <col min="8706" max="8706" width="35.7109375" style="23" customWidth="1"/>
    <col min="8707" max="8708" width="12.85546875" style="23" customWidth="1"/>
    <col min="8709" max="8709" width="13.7109375" style="23" customWidth="1"/>
    <col min="8710" max="8710" width="10.7109375" style="23" customWidth="1"/>
    <col min="8711" max="8716" width="11.42578125" style="23"/>
    <col min="8717" max="8717" width="14.42578125" style="23" customWidth="1"/>
    <col min="8718" max="8960" width="11.42578125" style="23"/>
    <col min="8961" max="8961" width="13.5703125" style="23" customWidth="1"/>
    <col min="8962" max="8962" width="35.7109375" style="23" customWidth="1"/>
    <col min="8963" max="8964" width="12.85546875" style="23" customWidth="1"/>
    <col min="8965" max="8965" width="13.7109375" style="23" customWidth="1"/>
    <col min="8966" max="8966" width="10.7109375" style="23" customWidth="1"/>
    <col min="8967" max="8972" width="11.42578125" style="23"/>
    <col min="8973" max="8973" width="14.42578125" style="23" customWidth="1"/>
    <col min="8974" max="9216" width="11.42578125" style="23"/>
    <col min="9217" max="9217" width="13.5703125" style="23" customWidth="1"/>
    <col min="9218" max="9218" width="35.7109375" style="23" customWidth="1"/>
    <col min="9219" max="9220" width="12.85546875" style="23" customWidth="1"/>
    <col min="9221" max="9221" width="13.7109375" style="23" customWidth="1"/>
    <col min="9222" max="9222" width="10.7109375" style="23" customWidth="1"/>
    <col min="9223" max="9228" width="11.42578125" style="23"/>
    <col min="9229" max="9229" width="14.42578125" style="23" customWidth="1"/>
    <col min="9230" max="9472" width="11.42578125" style="23"/>
    <col min="9473" max="9473" width="13.5703125" style="23" customWidth="1"/>
    <col min="9474" max="9474" width="35.7109375" style="23" customWidth="1"/>
    <col min="9475" max="9476" width="12.85546875" style="23" customWidth="1"/>
    <col min="9477" max="9477" width="13.7109375" style="23" customWidth="1"/>
    <col min="9478" max="9478" width="10.7109375" style="23" customWidth="1"/>
    <col min="9479" max="9484" width="11.42578125" style="23"/>
    <col min="9485" max="9485" width="14.42578125" style="23" customWidth="1"/>
    <col min="9486" max="9728" width="11.42578125" style="23"/>
    <col min="9729" max="9729" width="13.5703125" style="23" customWidth="1"/>
    <col min="9730" max="9730" width="35.7109375" style="23" customWidth="1"/>
    <col min="9731" max="9732" width="12.85546875" style="23" customWidth="1"/>
    <col min="9733" max="9733" width="13.7109375" style="23" customWidth="1"/>
    <col min="9734" max="9734" width="10.7109375" style="23" customWidth="1"/>
    <col min="9735" max="9740" width="11.42578125" style="23"/>
    <col min="9741" max="9741" width="14.42578125" style="23" customWidth="1"/>
    <col min="9742" max="9984" width="11.42578125" style="23"/>
    <col min="9985" max="9985" width="13.5703125" style="23" customWidth="1"/>
    <col min="9986" max="9986" width="35.7109375" style="23" customWidth="1"/>
    <col min="9987" max="9988" width="12.85546875" style="23" customWidth="1"/>
    <col min="9989" max="9989" width="13.7109375" style="23" customWidth="1"/>
    <col min="9990" max="9990" width="10.7109375" style="23" customWidth="1"/>
    <col min="9991" max="9996" width="11.42578125" style="23"/>
    <col min="9997" max="9997" width="14.42578125" style="23" customWidth="1"/>
    <col min="9998" max="10240" width="11.42578125" style="23"/>
    <col min="10241" max="10241" width="13.5703125" style="23" customWidth="1"/>
    <col min="10242" max="10242" width="35.7109375" style="23" customWidth="1"/>
    <col min="10243" max="10244" width="12.85546875" style="23" customWidth="1"/>
    <col min="10245" max="10245" width="13.7109375" style="23" customWidth="1"/>
    <col min="10246" max="10246" width="10.7109375" style="23" customWidth="1"/>
    <col min="10247" max="10252" width="11.42578125" style="23"/>
    <col min="10253" max="10253" width="14.42578125" style="23" customWidth="1"/>
    <col min="10254" max="10496" width="11.42578125" style="23"/>
    <col min="10497" max="10497" width="13.5703125" style="23" customWidth="1"/>
    <col min="10498" max="10498" width="35.7109375" style="23" customWidth="1"/>
    <col min="10499" max="10500" width="12.85546875" style="23" customWidth="1"/>
    <col min="10501" max="10501" width="13.7109375" style="23" customWidth="1"/>
    <col min="10502" max="10502" width="10.7109375" style="23" customWidth="1"/>
    <col min="10503" max="10508" width="11.42578125" style="23"/>
    <col min="10509" max="10509" width="14.42578125" style="23" customWidth="1"/>
    <col min="10510" max="10752" width="11.42578125" style="23"/>
    <col min="10753" max="10753" width="13.5703125" style="23" customWidth="1"/>
    <col min="10754" max="10754" width="35.7109375" style="23" customWidth="1"/>
    <col min="10755" max="10756" width="12.85546875" style="23" customWidth="1"/>
    <col min="10757" max="10757" width="13.7109375" style="23" customWidth="1"/>
    <col min="10758" max="10758" width="10.7109375" style="23" customWidth="1"/>
    <col min="10759" max="10764" width="11.42578125" style="23"/>
    <col min="10765" max="10765" width="14.42578125" style="23" customWidth="1"/>
    <col min="10766" max="11008" width="11.42578125" style="23"/>
    <col min="11009" max="11009" width="13.5703125" style="23" customWidth="1"/>
    <col min="11010" max="11010" width="35.7109375" style="23" customWidth="1"/>
    <col min="11011" max="11012" width="12.85546875" style="23" customWidth="1"/>
    <col min="11013" max="11013" width="13.7109375" style="23" customWidth="1"/>
    <col min="11014" max="11014" width="10.7109375" style="23" customWidth="1"/>
    <col min="11015" max="11020" width="11.42578125" style="23"/>
    <col min="11021" max="11021" width="14.42578125" style="23" customWidth="1"/>
    <col min="11022" max="11264" width="11.42578125" style="23"/>
    <col min="11265" max="11265" width="13.5703125" style="23" customWidth="1"/>
    <col min="11266" max="11266" width="35.7109375" style="23" customWidth="1"/>
    <col min="11267" max="11268" width="12.85546875" style="23" customWidth="1"/>
    <col min="11269" max="11269" width="13.7109375" style="23" customWidth="1"/>
    <col min="11270" max="11270" width="10.7109375" style="23" customWidth="1"/>
    <col min="11271" max="11276" width="11.42578125" style="23"/>
    <col min="11277" max="11277" width="14.42578125" style="23" customWidth="1"/>
    <col min="11278" max="11520" width="11.42578125" style="23"/>
    <col min="11521" max="11521" width="13.5703125" style="23" customWidth="1"/>
    <col min="11522" max="11522" width="35.7109375" style="23" customWidth="1"/>
    <col min="11523" max="11524" width="12.85546875" style="23" customWidth="1"/>
    <col min="11525" max="11525" width="13.7109375" style="23" customWidth="1"/>
    <col min="11526" max="11526" width="10.7109375" style="23" customWidth="1"/>
    <col min="11527" max="11532" width="11.42578125" style="23"/>
    <col min="11533" max="11533" width="14.42578125" style="23" customWidth="1"/>
    <col min="11534" max="11776" width="11.42578125" style="23"/>
    <col min="11777" max="11777" width="13.5703125" style="23" customWidth="1"/>
    <col min="11778" max="11778" width="35.7109375" style="23" customWidth="1"/>
    <col min="11779" max="11780" width="12.85546875" style="23" customWidth="1"/>
    <col min="11781" max="11781" width="13.7109375" style="23" customWidth="1"/>
    <col min="11782" max="11782" width="10.7109375" style="23" customWidth="1"/>
    <col min="11783" max="11788" width="11.42578125" style="23"/>
    <col min="11789" max="11789" width="14.42578125" style="23" customWidth="1"/>
    <col min="11790" max="12032" width="11.42578125" style="23"/>
    <col min="12033" max="12033" width="13.5703125" style="23" customWidth="1"/>
    <col min="12034" max="12034" width="35.7109375" style="23" customWidth="1"/>
    <col min="12035" max="12036" width="12.85546875" style="23" customWidth="1"/>
    <col min="12037" max="12037" width="13.7109375" style="23" customWidth="1"/>
    <col min="12038" max="12038" width="10.7109375" style="23" customWidth="1"/>
    <col min="12039" max="12044" width="11.42578125" style="23"/>
    <col min="12045" max="12045" width="14.42578125" style="23" customWidth="1"/>
    <col min="12046" max="12288" width="11.42578125" style="23"/>
    <col min="12289" max="12289" width="13.5703125" style="23" customWidth="1"/>
    <col min="12290" max="12290" width="35.7109375" style="23" customWidth="1"/>
    <col min="12291" max="12292" width="12.85546875" style="23" customWidth="1"/>
    <col min="12293" max="12293" width="13.7109375" style="23" customWidth="1"/>
    <col min="12294" max="12294" width="10.7109375" style="23" customWidth="1"/>
    <col min="12295" max="12300" width="11.42578125" style="23"/>
    <col min="12301" max="12301" width="14.42578125" style="23" customWidth="1"/>
    <col min="12302" max="12544" width="11.42578125" style="23"/>
    <col min="12545" max="12545" width="13.5703125" style="23" customWidth="1"/>
    <col min="12546" max="12546" width="35.7109375" style="23" customWidth="1"/>
    <col min="12547" max="12548" width="12.85546875" style="23" customWidth="1"/>
    <col min="12549" max="12549" width="13.7109375" style="23" customWidth="1"/>
    <col min="12550" max="12550" width="10.7109375" style="23" customWidth="1"/>
    <col min="12551" max="12556" width="11.42578125" style="23"/>
    <col min="12557" max="12557" width="14.42578125" style="23" customWidth="1"/>
    <col min="12558" max="12800" width="11.42578125" style="23"/>
    <col min="12801" max="12801" width="13.5703125" style="23" customWidth="1"/>
    <col min="12802" max="12802" width="35.7109375" style="23" customWidth="1"/>
    <col min="12803" max="12804" width="12.85546875" style="23" customWidth="1"/>
    <col min="12805" max="12805" width="13.7109375" style="23" customWidth="1"/>
    <col min="12806" max="12806" width="10.7109375" style="23" customWidth="1"/>
    <col min="12807" max="12812" width="11.42578125" style="23"/>
    <col min="12813" max="12813" width="14.42578125" style="23" customWidth="1"/>
    <col min="12814" max="13056" width="11.42578125" style="23"/>
    <col min="13057" max="13057" width="13.5703125" style="23" customWidth="1"/>
    <col min="13058" max="13058" width="35.7109375" style="23" customWidth="1"/>
    <col min="13059" max="13060" width="12.85546875" style="23" customWidth="1"/>
    <col min="13061" max="13061" width="13.7109375" style="23" customWidth="1"/>
    <col min="13062" max="13062" width="10.7109375" style="23" customWidth="1"/>
    <col min="13063" max="13068" width="11.42578125" style="23"/>
    <col min="13069" max="13069" width="14.42578125" style="23" customWidth="1"/>
    <col min="13070" max="13312" width="11.42578125" style="23"/>
    <col min="13313" max="13313" width="13.5703125" style="23" customWidth="1"/>
    <col min="13314" max="13314" width="35.7109375" style="23" customWidth="1"/>
    <col min="13315" max="13316" width="12.85546875" style="23" customWidth="1"/>
    <col min="13317" max="13317" width="13.7109375" style="23" customWidth="1"/>
    <col min="13318" max="13318" width="10.7109375" style="23" customWidth="1"/>
    <col min="13319" max="13324" width="11.42578125" style="23"/>
    <col min="13325" max="13325" width="14.42578125" style="23" customWidth="1"/>
    <col min="13326" max="13568" width="11.42578125" style="23"/>
    <col min="13569" max="13569" width="13.5703125" style="23" customWidth="1"/>
    <col min="13570" max="13570" width="35.7109375" style="23" customWidth="1"/>
    <col min="13571" max="13572" width="12.85546875" style="23" customWidth="1"/>
    <col min="13573" max="13573" width="13.7109375" style="23" customWidth="1"/>
    <col min="13574" max="13574" width="10.7109375" style="23" customWidth="1"/>
    <col min="13575" max="13580" width="11.42578125" style="23"/>
    <col min="13581" max="13581" width="14.42578125" style="23" customWidth="1"/>
    <col min="13582" max="13824" width="11.42578125" style="23"/>
    <col min="13825" max="13825" width="13.5703125" style="23" customWidth="1"/>
    <col min="13826" max="13826" width="35.7109375" style="23" customWidth="1"/>
    <col min="13827" max="13828" width="12.85546875" style="23" customWidth="1"/>
    <col min="13829" max="13829" width="13.7109375" style="23" customWidth="1"/>
    <col min="13830" max="13830" width="10.7109375" style="23" customWidth="1"/>
    <col min="13831" max="13836" width="11.42578125" style="23"/>
    <col min="13837" max="13837" width="14.42578125" style="23" customWidth="1"/>
    <col min="13838" max="14080" width="11.42578125" style="23"/>
    <col min="14081" max="14081" width="13.5703125" style="23" customWidth="1"/>
    <col min="14082" max="14082" width="35.7109375" style="23" customWidth="1"/>
    <col min="14083" max="14084" width="12.85546875" style="23" customWidth="1"/>
    <col min="14085" max="14085" width="13.7109375" style="23" customWidth="1"/>
    <col min="14086" max="14086" width="10.7109375" style="23" customWidth="1"/>
    <col min="14087" max="14092" width="11.42578125" style="23"/>
    <col min="14093" max="14093" width="14.42578125" style="23" customWidth="1"/>
    <col min="14094" max="14336" width="11.42578125" style="23"/>
    <col min="14337" max="14337" width="13.5703125" style="23" customWidth="1"/>
    <col min="14338" max="14338" width="35.7109375" style="23" customWidth="1"/>
    <col min="14339" max="14340" width="12.85546875" style="23" customWidth="1"/>
    <col min="14341" max="14341" width="13.7109375" style="23" customWidth="1"/>
    <col min="14342" max="14342" width="10.7109375" style="23" customWidth="1"/>
    <col min="14343" max="14348" width="11.42578125" style="23"/>
    <col min="14349" max="14349" width="14.42578125" style="23" customWidth="1"/>
    <col min="14350" max="14592" width="11.42578125" style="23"/>
    <col min="14593" max="14593" width="13.5703125" style="23" customWidth="1"/>
    <col min="14594" max="14594" width="35.7109375" style="23" customWidth="1"/>
    <col min="14595" max="14596" width="12.85546875" style="23" customWidth="1"/>
    <col min="14597" max="14597" width="13.7109375" style="23" customWidth="1"/>
    <col min="14598" max="14598" width="10.7109375" style="23" customWidth="1"/>
    <col min="14599" max="14604" width="11.42578125" style="23"/>
    <col min="14605" max="14605" width="14.42578125" style="23" customWidth="1"/>
    <col min="14606" max="14848" width="11.42578125" style="23"/>
    <col min="14849" max="14849" width="13.5703125" style="23" customWidth="1"/>
    <col min="14850" max="14850" width="35.7109375" style="23" customWidth="1"/>
    <col min="14851" max="14852" width="12.85546875" style="23" customWidth="1"/>
    <col min="14853" max="14853" width="13.7109375" style="23" customWidth="1"/>
    <col min="14854" max="14854" width="10.7109375" style="23" customWidth="1"/>
    <col min="14855" max="14860" width="11.42578125" style="23"/>
    <col min="14861" max="14861" width="14.42578125" style="23" customWidth="1"/>
    <col min="14862" max="15104" width="11.42578125" style="23"/>
    <col min="15105" max="15105" width="13.5703125" style="23" customWidth="1"/>
    <col min="15106" max="15106" width="35.7109375" style="23" customWidth="1"/>
    <col min="15107" max="15108" width="12.85546875" style="23" customWidth="1"/>
    <col min="15109" max="15109" width="13.7109375" style="23" customWidth="1"/>
    <col min="15110" max="15110" width="10.7109375" style="23" customWidth="1"/>
    <col min="15111" max="15116" width="11.42578125" style="23"/>
    <col min="15117" max="15117" width="14.42578125" style="23" customWidth="1"/>
    <col min="15118" max="15360" width="11.42578125" style="23"/>
    <col min="15361" max="15361" width="13.5703125" style="23" customWidth="1"/>
    <col min="15362" max="15362" width="35.7109375" style="23" customWidth="1"/>
    <col min="15363" max="15364" width="12.85546875" style="23" customWidth="1"/>
    <col min="15365" max="15365" width="13.7109375" style="23" customWidth="1"/>
    <col min="15366" max="15366" width="10.7109375" style="23" customWidth="1"/>
    <col min="15367" max="15372" width="11.42578125" style="23"/>
    <col min="15373" max="15373" width="14.42578125" style="23" customWidth="1"/>
    <col min="15374" max="15616" width="11.42578125" style="23"/>
    <col min="15617" max="15617" width="13.5703125" style="23" customWidth="1"/>
    <col min="15618" max="15618" width="35.7109375" style="23" customWidth="1"/>
    <col min="15619" max="15620" width="12.85546875" style="23" customWidth="1"/>
    <col min="15621" max="15621" width="13.7109375" style="23" customWidth="1"/>
    <col min="15622" max="15622" width="10.7109375" style="23" customWidth="1"/>
    <col min="15623" max="15628" width="11.42578125" style="23"/>
    <col min="15629" max="15629" width="14.42578125" style="23" customWidth="1"/>
    <col min="15630" max="15872" width="11.42578125" style="23"/>
    <col min="15873" max="15873" width="13.5703125" style="23" customWidth="1"/>
    <col min="15874" max="15874" width="35.7109375" style="23" customWidth="1"/>
    <col min="15875" max="15876" width="12.85546875" style="23" customWidth="1"/>
    <col min="15877" max="15877" width="13.7109375" style="23" customWidth="1"/>
    <col min="15878" max="15878" width="10.7109375" style="23" customWidth="1"/>
    <col min="15879" max="15884" width="11.42578125" style="23"/>
    <col min="15885" max="15885" width="14.42578125" style="23" customWidth="1"/>
    <col min="15886" max="16128" width="11.42578125" style="23"/>
    <col min="16129" max="16129" width="13.5703125" style="23" customWidth="1"/>
    <col min="16130" max="16130" width="35.7109375" style="23" customWidth="1"/>
    <col min="16131" max="16132" width="12.85546875" style="23" customWidth="1"/>
    <col min="16133" max="16133" width="13.7109375" style="23" customWidth="1"/>
    <col min="16134" max="16134" width="10.7109375" style="23" customWidth="1"/>
    <col min="16135" max="16140" width="11.42578125" style="23"/>
    <col min="16141" max="16141" width="14.42578125" style="23" customWidth="1"/>
    <col min="16142" max="16384" width="11.42578125" style="23"/>
  </cols>
  <sheetData>
    <row r="6" spans="2:5" ht="37.5" customHeight="1">
      <c r="B6" s="246" t="s">
        <v>284</v>
      </c>
      <c r="C6" s="247"/>
      <c r="D6" s="247"/>
      <c r="E6" s="248"/>
    </row>
    <row r="7" spans="2:5" ht="37.5" customHeight="1">
      <c r="B7" s="30" t="s">
        <v>267</v>
      </c>
      <c r="C7" s="223" t="str">
        <f>actualizaciones!A3</f>
        <v>acumulado julio 2009</v>
      </c>
      <c r="D7" s="223" t="str">
        <f>actualizaciones!A2</f>
        <v xml:space="preserve">acumulado julio 2010 </v>
      </c>
      <c r="E7" s="354" t="s">
        <v>280</v>
      </c>
    </row>
    <row r="8" spans="2:5" ht="15" customHeight="1">
      <c r="B8" s="98" t="s">
        <v>268</v>
      </c>
      <c r="C8" s="99"/>
      <c r="D8" s="107"/>
      <c r="E8" s="108"/>
    </row>
    <row r="9" spans="2:5">
      <c r="B9" s="33" t="s">
        <v>281</v>
      </c>
      <c r="C9" s="348">
        <f>GETPIVOTDATA("Suma de TOTAL GENERAL",'[1]tabla dinámica EM'!$A$4,"PAIS/INDICADOR","ESTANCIA MEDIA ACUMULADO","AÑO",2009)</f>
        <v>7.7419125950520415</v>
      </c>
      <c r="D9" s="348">
        <f>GETPIVOTDATA("Suma de TOTAL GENERAL",'[1]tabla dinámica EM'!$A$4,"PAIS/INDICADOR","ESTANCIA MEDIA ACUMULADO","AÑO",2010)</f>
        <v>7.464581711616832</v>
      </c>
      <c r="E9" s="399">
        <f>D9-C9</f>
        <v>-0.27733088343520951</v>
      </c>
    </row>
    <row r="10" spans="2:5">
      <c r="B10" s="37" t="s">
        <v>282</v>
      </c>
      <c r="C10" s="350">
        <f>GETPIVOTDATA("Suma de TOTAL HOTELERO",'[1]tabla dinámica EM'!$A$4,"PAIS/INDICADOR","ESTANCIA MEDIA ACUMULADO","AÑO",2009)</f>
        <v>7.2357267950963227</v>
      </c>
      <c r="D10" s="350">
        <f>GETPIVOTDATA("Suma de TOTAL HOTELERO",'[1]tabla dinámica EM'!$A$4,"PAIS/INDICADOR","ESTANCIA MEDIA ACUMULADO","AÑO",2010)</f>
        <v>6.9683565807411521</v>
      </c>
      <c r="E10" s="401">
        <f>D10-C10</f>
        <v>-0.26737021435517061</v>
      </c>
    </row>
    <row r="11" spans="2:5">
      <c r="B11" s="337" t="s">
        <v>283</v>
      </c>
      <c r="C11" s="364">
        <f>GETPIVOTDATA("Suma de Extrahoteleros",'[1]tabla dinámica EM'!$A$4,"PAIS/INDICADOR","ESTANCIA MEDIA ACUMULADO","AÑO",2009)</f>
        <v>8.4660344539008001</v>
      </c>
      <c r="D11" s="364">
        <f>GETPIVOTDATA("Suma de Extrahoteleros",'[1]tabla dinámica EM'!$A$4,"PAIS/INDICADOR","ESTANCIA MEDIA ACUMULADO","AÑO",2010)</f>
        <v>8.2416655582158374</v>
      </c>
      <c r="E11" s="403">
        <f>D11-C11</f>
        <v>-0.22436889568496277</v>
      </c>
    </row>
    <row r="12" spans="2:5" ht="15" customHeight="1">
      <c r="B12" s="98" t="s">
        <v>269</v>
      </c>
      <c r="C12" s="366"/>
      <c r="D12" s="366"/>
      <c r="E12" s="404"/>
    </row>
    <row r="13" spans="2:5">
      <c r="B13" s="33" t="s">
        <v>281</v>
      </c>
      <c r="C13" s="348">
        <f>GETPIVOTDATA("Suma de TOTAL Z4",'[1]tabla dinámica EM'!$A$4,"PAIS/INDICADOR","ESTANCIA MEDIA ACUMULADO","AÑO",2009)</f>
        <v>7.9937608496266348</v>
      </c>
      <c r="D13" s="348">
        <f>GETPIVOTDATA("Suma de TOTAL Z4",'[1]tabla dinámica EM'!$A$4,"PAIS/INDICADOR","ESTANCIA MEDIA ACUMULADO","AÑO",2010)</f>
        <v>7.7207797208759894</v>
      </c>
      <c r="E13" s="399">
        <f>D13-C13</f>
        <v>-0.2729811287506454</v>
      </c>
    </row>
    <row r="14" spans="2:5">
      <c r="B14" s="37" t="s">
        <v>282</v>
      </c>
      <c r="C14" s="350">
        <f>GETPIVOTDATA("Suma de HOTEL Z4",'[1]tabla dinámica EM'!$A$4,"PAIS/INDICADOR","ESTANCIA MEDIA ACUMULADO","AÑO",2009)</f>
        <v>7.6467524150512789</v>
      </c>
      <c r="D14" s="350">
        <f>GETPIVOTDATA("Suma de HOTEL Z4",'[1]tabla dinámica EM'!$A$4,"PAIS/INDICADOR","ESTANCIA MEDIA ACUMULADO","AÑO",2010)</f>
        <v>7.3057424794021841</v>
      </c>
      <c r="E14" s="401">
        <f>D14-C14</f>
        <v>-0.34100993564909476</v>
      </c>
    </row>
    <row r="15" spans="2:5">
      <c r="B15" s="337" t="s">
        <v>283</v>
      </c>
      <c r="C15" s="368">
        <f>GETPIVOTDATA("Suma de EXTRA-H Z4",'[1]tabla dinámica EM'!$A$4,"PAIS/INDICADOR","ESTANCIA MEDIA ACUMULADO","AÑO",2009)</f>
        <v>8.4203601507397838</v>
      </c>
      <c r="D15" s="368">
        <f>GETPIVOTDATA("Suma de EXTRA-H Z4",'[1]tabla dinámica EM'!$A$4,"PAIS/INDICADOR","ESTANCIA MEDIA ACUMULADO","AÑO",2010)</f>
        <v>8.280468457294937</v>
      </c>
      <c r="E15" s="401">
        <f>D15-C15</f>
        <v>-0.13989169344484687</v>
      </c>
    </row>
    <row r="16" spans="2:5" ht="15" customHeight="1">
      <c r="B16" s="98" t="s">
        <v>89</v>
      </c>
      <c r="C16" s="366"/>
      <c r="D16" s="366"/>
      <c r="E16" s="404"/>
    </row>
    <row r="17" spans="2:12">
      <c r="B17" s="33" t="s">
        <v>281</v>
      </c>
      <c r="C17" s="398">
        <f>'[1]tabla dinámica municipios'!$K$298</f>
        <v>8.1532598605680882</v>
      </c>
      <c r="D17" s="398">
        <f>'[1]tabla dinámica municipios'!$U$298</f>
        <v>7.8662886756998951</v>
      </c>
      <c r="E17" s="399">
        <f>D17-C17</f>
        <v>-0.28697118486819306</v>
      </c>
    </row>
    <row r="18" spans="2:12">
      <c r="B18" s="37" t="s">
        <v>282</v>
      </c>
      <c r="C18" s="400">
        <f>'[1]tabla dinámica municipios'!$J$298</f>
        <v>7.8624342994195553</v>
      </c>
      <c r="D18" s="400">
        <f>'[1]tabla dinámica municipios'!$T$298</f>
        <v>7.5495798162773262</v>
      </c>
      <c r="E18" s="401">
        <f>D18-C18</f>
        <v>-0.31285448314222908</v>
      </c>
    </row>
    <row r="19" spans="2:12">
      <c r="B19" s="337" t="s">
        <v>283</v>
      </c>
      <c r="C19" s="402">
        <f>'[1]tabla dinámica municipios'!$I$298</f>
        <v>8.6704294442486187</v>
      </c>
      <c r="D19" s="402">
        <f>'[1]tabla dinámica municipios'!$S$298</f>
        <v>8.4760431611669063</v>
      </c>
      <c r="E19" s="401">
        <f>D19-C19</f>
        <v>-0.19438628308171246</v>
      </c>
    </row>
    <row r="20" spans="2:12" ht="16.5" customHeight="1">
      <c r="B20" s="369" t="s">
        <v>285</v>
      </c>
      <c r="C20" s="369"/>
      <c r="D20" s="369"/>
      <c r="E20" s="369"/>
    </row>
    <row r="21" spans="2:12" ht="15" customHeight="1" thickBot="1"/>
    <row r="22" spans="2:12" ht="30" customHeight="1" thickBot="1">
      <c r="B22" s="46"/>
      <c r="C22" s="46"/>
      <c r="D22" s="46"/>
      <c r="E22" s="60" t="s">
        <v>49</v>
      </c>
      <c r="F22" s="46"/>
      <c r="G22" s="46"/>
      <c r="H22" s="46"/>
      <c r="I22" s="46"/>
      <c r="J22" s="46"/>
      <c r="K22" s="46"/>
      <c r="L22" s="46"/>
    </row>
  </sheetData>
  <mergeCells count="2">
    <mergeCell ref="B6:E6"/>
    <mergeCell ref="B20:E20"/>
  </mergeCells>
  <hyperlinks>
    <hyperlink ref="E22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5" sqref="B25"/>
    </sheetView>
  </sheetViews>
  <sheetFormatPr baseColWidth="10" defaultRowHeight="12.75"/>
  <cols>
    <col min="1" max="1" width="15.7109375" style="23" customWidth="1"/>
    <col min="2" max="2" width="12.7109375" style="23" customWidth="1"/>
    <col min="3" max="18" width="11.42578125" style="23"/>
    <col min="19" max="19" width="10.7109375" style="23" customWidth="1"/>
    <col min="20" max="25" width="11.42578125" style="23"/>
    <col min="26" max="26" width="14.42578125" style="23" customWidth="1"/>
    <col min="27" max="256" width="11.42578125" style="23"/>
    <col min="257" max="257" width="15.7109375" style="23" customWidth="1"/>
    <col min="258" max="258" width="12.7109375" style="23" customWidth="1"/>
    <col min="259" max="274" width="11.42578125" style="23"/>
    <col min="275" max="275" width="10.7109375" style="23" customWidth="1"/>
    <col min="276" max="281" width="11.42578125" style="23"/>
    <col min="282" max="282" width="14.42578125" style="23" customWidth="1"/>
    <col min="283" max="512" width="11.42578125" style="23"/>
    <col min="513" max="513" width="15.7109375" style="23" customWidth="1"/>
    <col min="514" max="514" width="12.7109375" style="23" customWidth="1"/>
    <col min="515" max="530" width="11.42578125" style="23"/>
    <col min="531" max="531" width="10.7109375" style="23" customWidth="1"/>
    <col min="532" max="537" width="11.42578125" style="23"/>
    <col min="538" max="538" width="14.42578125" style="23" customWidth="1"/>
    <col min="539" max="768" width="11.42578125" style="23"/>
    <col min="769" max="769" width="15.7109375" style="23" customWidth="1"/>
    <col min="770" max="770" width="12.7109375" style="23" customWidth="1"/>
    <col min="771" max="786" width="11.42578125" style="23"/>
    <col min="787" max="787" width="10.7109375" style="23" customWidth="1"/>
    <col min="788" max="793" width="11.42578125" style="23"/>
    <col min="794" max="794" width="14.42578125" style="23" customWidth="1"/>
    <col min="795" max="1024" width="11.42578125" style="23"/>
    <col min="1025" max="1025" width="15.7109375" style="23" customWidth="1"/>
    <col min="1026" max="1026" width="12.7109375" style="23" customWidth="1"/>
    <col min="1027" max="1042" width="11.42578125" style="23"/>
    <col min="1043" max="1043" width="10.7109375" style="23" customWidth="1"/>
    <col min="1044" max="1049" width="11.42578125" style="23"/>
    <col min="1050" max="1050" width="14.42578125" style="23" customWidth="1"/>
    <col min="1051" max="1280" width="11.42578125" style="23"/>
    <col min="1281" max="1281" width="15.7109375" style="23" customWidth="1"/>
    <col min="1282" max="1282" width="12.7109375" style="23" customWidth="1"/>
    <col min="1283" max="1298" width="11.42578125" style="23"/>
    <col min="1299" max="1299" width="10.7109375" style="23" customWidth="1"/>
    <col min="1300" max="1305" width="11.42578125" style="23"/>
    <col min="1306" max="1306" width="14.42578125" style="23" customWidth="1"/>
    <col min="1307" max="1536" width="11.42578125" style="23"/>
    <col min="1537" max="1537" width="15.7109375" style="23" customWidth="1"/>
    <col min="1538" max="1538" width="12.7109375" style="23" customWidth="1"/>
    <col min="1539" max="1554" width="11.42578125" style="23"/>
    <col min="1555" max="1555" width="10.7109375" style="23" customWidth="1"/>
    <col min="1556" max="1561" width="11.42578125" style="23"/>
    <col min="1562" max="1562" width="14.42578125" style="23" customWidth="1"/>
    <col min="1563" max="1792" width="11.42578125" style="23"/>
    <col min="1793" max="1793" width="15.7109375" style="23" customWidth="1"/>
    <col min="1794" max="1794" width="12.7109375" style="23" customWidth="1"/>
    <col min="1795" max="1810" width="11.42578125" style="23"/>
    <col min="1811" max="1811" width="10.7109375" style="23" customWidth="1"/>
    <col min="1812" max="1817" width="11.42578125" style="23"/>
    <col min="1818" max="1818" width="14.42578125" style="23" customWidth="1"/>
    <col min="1819" max="2048" width="11.42578125" style="23"/>
    <col min="2049" max="2049" width="15.7109375" style="23" customWidth="1"/>
    <col min="2050" max="2050" width="12.7109375" style="23" customWidth="1"/>
    <col min="2051" max="2066" width="11.42578125" style="23"/>
    <col min="2067" max="2067" width="10.7109375" style="23" customWidth="1"/>
    <col min="2068" max="2073" width="11.42578125" style="23"/>
    <col min="2074" max="2074" width="14.42578125" style="23" customWidth="1"/>
    <col min="2075" max="2304" width="11.42578125" style="23"/>
    <col min="2305" max="2305" width="15.7109375" style="23" customWidth="1"/>
    <col min="2306" max="2306" width="12.7109375" style="23" customWidth="1"/>
    <col min="2307" max="2322" width="11.42578125" style="23"/>
    <col min="2323" max="2323" width="10.7109375" style="23" customWidth="1"/>
    <col min="2324" max="2329" width="11.42578125" style="23"/>
    <col min="2330" max="2330" width="14.42578125" style="23" customWidth="1"/>
    <col min="2331" max="2560" width="11.42578125" style="23"/>
    <col min="2561" max="2561" width="15.7109375" style="23" customWidth="1"/>
    <col min="2562" max="2562" width="12.7109375" style="23" customWidth="1"/>
    <col min="2563" max="2578" width="11.42578125" style="23"/>
    <col min="2579" max="2579" width="10.7109375" style="23" customWidth="1"/>
    <col min="2580" max="2585" width="11.42578125" style="23"/>
    <col min="2586" max="2586" width="14.42578125" style="23" customWidth="1"/>
    <col min="2587" max="2816" width="11.42578125" style="23"/>
    <col min="2817" max="2817" width="15.7109375" style="23" customWidth="1"/>
    <col min="2818" max="2818" width="12.7109375" style="23" customWidth="1"/>
    <col min="2819" max="2834" width="11.42578125" style="23"/>
    <col min="2835" max="2835" width="10.7109375" style="23" customWidth="1"/>
    <col min="2836" max="2841" width="11.42578125" style="23"/>
    <col min="2842" max="2842" width="14.42578125" style="23" customWidth="1"/>
    <col min="2843" max="3072" width="11.42578125" style="23"/>
    <col min="3073" max="3073" width="15.7109375" style="23" customWidth="1"/>
    <col min="3074" max="3074" width="12.7109375" style="23" customWidth="1"/>
    <col min="3075" max="3090" width="11.42578125" style="23"/>
    <col min="3091" max="3091" width="10.7109375" style="23" customWidth="1"/>
    <col min="3092" max="3097" width="11.42578125" style="23"/>
    <col min="3098" max="3098" width="14.42578125" style="23" customWidth="1"/>
    <col min="3099" max="3328" width="11.42578125" style="23"/>
    <col min="3329" max="3329" width="15.7109375" style="23" customWidth="1"/>
    <col min="3330" max="3330" width="12.7109375" style="23" customWidth="1"/>
    <col min="3331" max="3346" width="11.42578125" style="23"/>
    <col min="3347" max="3347" width="10.7109375" style="23" customWidth="1"/>
    <col min="3348" max="3353" width="11.42578125" style="23"/>
    <col min="3354" max="3354" width="14.42578125" style="23" customWidth="1"/>
    <col min="3355" max="3584" width="11.42578125" style="23"/>
    <col min="3585" max="3585" width="15.7109375" style="23" customWidth="1"/>
    <col min="3586" max="3586" width="12.7109375" style="23" customWidth="1"/>
    <col min="3587" max="3602" width="11.42578125" style="23"/>
    <col min="3603" max="3603" width="10.7109375" style="23" customWidth="1"/>
    <col min="3604" max="3609" width="11.42578125" style="23"/>
    <col min="3610" max="3610" width="14.42578125" style="23" customWidth="1"/>
    <col min="3611" max="3840" width="11.42578125" style="23"/>
    <col min="3841" max="3841" width="15.7109375" style="23" customWidth="1"/>
    <col min="3842" max="3842" width="12.7109375" style="23" customWidth="1"/>
    <col min="3843" max="3858" width="11.42578125" style="23"/>
    <col min="3859" max="3859" width="10.7109375" style="23" customWidth="1"/>
    <col min="3860" max="3865" width="11.42578125" style="23"/>
    <col min="3866" max="3866" width="14.42578125" style="23" customWidth="1"/>
    <col min="3867" max="4096" width="11.42578125" style="23"/>
    <col min="4097" max="4097" width="15.7109375" style="23" customWidth="1"/>
    <col min="4098" max="4098" width="12.7109375" style="23" customWidth="1"/>
    <col min="4099" max="4114" width="11.42578125" style="23"/>
    <col min="4115" max="4115" width="10.7109375" style="23" customWidth="1"/>
    <col min="4116" max="4121" width="11.42578125" style="23"/>
    <col min="4122" max="4122" width="14.42578125" style="23" customWidth="1"/>
    <col min="4123" max="4352" width="11.42578125" style="23"/>
    <col min="4353" max="4353" width="15.7109375" style="23" customWidth="1"/>
    <col min="4354" max="4354" width="12.7109375" style="23" customWidth="1"/>
    <col min="4355" max="4370" width="11.42578125" style="23"/>
    <col min="4371" max="4371" width="10.7109375" style="23" customWidth="1"/>
    <col min="4372" max="4377" width="11.42578125" style="23"/>
    <col min="4378" max="4378" width="14.42578125" style="23" customWidth="1"/>
    <col min="4379" max="4608" width="11.42578125" style="23"/>
    <col min="4609" max="4609" width="15.7109375" style="23" customWidth="1"/>
    <col min="4610" max="4610" width="12.7109375" style="23" customWidth="1"/>
    <col min="4611" max="4626" width="11.42578125" style="23"/>
    <col min="4627" max="4627" width="10.7109375" style="23" customWidth="1"/>
    <col min="4628" max="4633" width="11.42578125" style="23"/>
    <col min="4634" max="4634" width="14.42578125" style="23" customWidth="1"/>
    <col min="4635" max="4864" width="11.42578125" style="23"/>
    <col min="4865" max="4865" width="15.7109375" style="23" customWidth="1"/>
    <col min="4866" max="4866" width="12.7109375" style="23" customWidth="1"/>
    <col min="4867" max="4882" width="11.42578125" style="23"/>
    <col min="4883" max="4883" width="10.7109375" style="23" customWidth="1"/>
    <col min="4884" max="4889" width="11.42578125" style="23"/>
    <col min="4890" max="4890" width="14.42578125" style="23" customWidth="1"/>
    <col min="4891" max="5120" width="11.42578125" style="23"/>
    <col min="5121" max="5121" width="15.7109375" style="23" customWidth="1"/>
    <col min="5122" max="5122" width="12.7109375" style="23" customWidth="1"/>
    <col min="5123" max="5138" width="11.42578125" style="23"/>
    <col min="5139" max="5139" width="10.7109375" style="23" customWidth="1"/>
    <col min="5140" max="5145" width="11.42578125" style="23"/>
    <col min="5146" max="5146" width="14.42578125" style="23" customWidth="1"/>
    <col min="5147" max="5376" width="11.42578125" style="23"/>
    <col min="5377" max="5377" width="15.7109375" style="23" customWidth="1"/>
    <col min="5378" max="5378" width="12.7109375" style="23" customWidth="1"/>
    <col min="5379" max="5394" width="11.42578125" style="23"/>
    <col min="5395" max="5395" width="10.7109375" style="23" customWidth="1"/>
    <col min="5396" max="5401" width="11.42578125" style="23"/>
    <col min="5402" max="5402" width="14.42578125" style="23" customWidth="1"/>
    <col min="5403" max="5632" width="11.42578125" style="23"/>
    <col min="5633" max="5633" width="15.7109375" style="23" customWidth="1"/>
    <col min="5634" max="5634" width="12.7109375" style="23" customWidth="1"/>
    <col min="5635" max="5650" width="11.42578125" style="23"/>
    <col min="5651" max="5651" width="10.7109375" style="23" customWidth="1"/>
    <col min="5652" max="5657" width="11.42578125" style="23"/>
    <col min="5658" max="5658" width="14.42578125" style="23" customWidth="1"/>
    <col min="5659" max="5888" width="11.42578125" style="23"/>
    <col min="5889" max="5889" width="15.7109375" style="23" customWidth="1"/>
    <col min="5890" max="5890" width="12.7109375" style="23" customWidth="1"/>
    <col min="5891" max="5906" width="11.42578125" style="23"/>
    <col min="5907" max="5907" width="10.7109375" style="23" customWidth="1"/>
    <col min="5908" max="5913" width="11.42578125" style="23"/>
    <col min="5914" max="5914" width="14.42578125" style="23" customWidth="1"/>
    <col min="5915" max="6144" width="11.42578125" style="23"/>
    <col min="6145" max="6145" width="15.7109375" style="23" customWidth="1"/>
    <col min="6146" max="6146" width="12.7109375" style="23" customWidth="1"/>
    <col min="6147" max="6162" width="11.42578125" style="23"/>
    <col min="6163" max="6163" width="10.7109375" style="23" customWidth="1"/>
    <col min="6164" max="6169" width="11.42578125" style="23"/>
    <col min="6170" max="6170" width="14.42578125" style="23" customWidth="1"/>
    <col min="6171" max="6400" width="11.42578125" style="23"/>
    <col min="6401" max="6401" width="15.7109375" style="23" customWidth="1"/>
    <col min="6402" max="6402" width="12.7109375" style="23" customWidth="1"/>
    <col min="6403" max="6418" width="11.42578125" style="23"/>
    <col min="6419" max="6419" width="10.7109375" style="23" customWidth="1"/>
    <col min="6420" max="6425" width="11.42578125" style="23"/>
    <col min="6426" max="6426" width="14.42578125" style="23" customWidth="1"/>
    <col min="6427" max="6656" width="11.42578125" style="23"/>
    <col min="6657" max="6657" width="15.7109375" style="23" customWidth="1"/>
    <col min="6658" max="6658" width="12.7109375" style="23" customWidth="1"/>
    <col min="6659" max="6674" width="11.42578125" style="23"/>
    <col min="6675" max="6675" width="10.7109375" style="23" customWidth="1"/>
    <col min="6676" max="6681" width="11.42578125" style="23"/>
    <col min="6682" max="6682" width="14.42578125" style="23" customWidth="1"/>
    <col min="6683" max="6912" width="11.42578125" style="23"/>
    <col min="6913" max="6913" width="15.7109375" style="23" customWidth="1"/>
    <col min="6914" max="6914" width="12.7109375" style="23" customWidth="1"/>
    <col min="6915" max="6930" width="11.42578125" style="23"/>
    <col min="6931" max="6931" width="10.7109375" style="23" customWidth="1"/>
    <col min="6932" max="6937" width="11.42578125" style="23"/>
    <col min="6938" max="6938" width="14.42578125" style="23" customWidth="1"/>
    <col min="6939" max="7168" width="11.42578125" style="23"/>
    <col min="7169" max="7169" width="15.7109375" style="23" customWidth="1"/>
    <col min="7170" max="7170" width="12.7109375" style="23" customWidth="1"/>
    <col min="7171" max="7186" width="11.42578125" style="23"/>
    <col min="7187" max="7187" width="10.7109375" style="23" customWidth="1"/>
    <col min="7188" max="7193" width="11.42578125" style="23"/>
    <col min="7194" max="7194" width="14.42578125" style="23" customWidth="1"/>
    <col min="7195" max="7424" width="11.42578125" style="23"/>
    <col min="7425" max="7425" width="15.7109375" style="23" customWidth="1"/>
    <col min="7426" max="7426" width="12.7109375" style="23" customWidth="1"/>
    <col min="7427" max="7442" width="11.42578125" style="23"/>
    <col min="7443" max="7443" width="10.7109375" style="23" customWidth="1"/>
    <col min="7444" max="7449" width="11.42578125" style="23"/>
    <col min="7450" max="7450" width="14.42578125" style="23" customWidth="1"/>
    <col min="7451" max="7680" width="11.42578125" style="23"/>
    <col min="7681" max="7681" width="15.7109375" style="23" customWidth="1"/>
    <col min="7682" max="7682" width="12.7109375" style="23" customWidth="1"/>
    <col min="7683" max="7698" width="11.42578125" style="23"/>
    <col min="7699" max="7699" width="10.7109375" style="23" customWidth="1"/>
    <col min="7700" max="7705" width="11.42578125" style="23"/>
    <col min="7706" max="7706" width="14.42578125" style="23" customWidth="1"/>
    <col min="7707" max="7936" width="11.42578125" style="23"/>
    <col min="7937" max="7937" width="15.7109375" style="23" customWidth="1"/>
    <col min="7938" max="7938" width="12.7109375" style="23" customWidth="1"/>
    <col min="7939" max="7954" width="11.42578125" style="23"/>
    <col min="7955" max="7955" width="10.7109375" style="23" customWidth="1"/>
    <col min="7956" max="7961" width="11.42578125" style="23"/>
    <col min="7962" max="7962" width="14.42578125" style="23" customWidth="1"/>
    <col min="7963" max="8192" width="11.42578125" style="23"/>
    <col min="8193" max="8193" width="15.7109375" style="23" customWidth="1"/>
    <col min="8194" max="8194" width="12.7109375" style="23" customWidth="1"/>
    <col min="8195" max="8210" width="11.42578125" style="23"/>
    <col min="8211" max="8211" width="10.7109375" style="23" customWidth="1"/>
    <col min="8212" max="8217" width="11.42578125" style="23"/>
    <col min="8218" max="8218" width="14.42578125" style="23" customWidth="1"/>
    <col min="8219" max="8448" width="11.42578125" style="23"/>
    <col min="8449" max="8449" width="15.7109375" style="23" customWidth="1"/>
    <col min="8450" max="8450" width="12.7109375" style="23" customWidth="1"/>
    <col min="8451" max="8466" width="11.42578125" style="23"/>
    <col min="8467" max="8467" width="10.7109375" style="23" customWidth="1"/>
    <col min="8468" max="8473" width="11.42578125" style="23"/>
    <col min="8474" max="8474" width="14.42578125" style="23" customWidth="1"/>
    <col min="8475" max="8704" width="11.42578125" style="23"/>
    <col min="8705" max="8705" width="15.7109375" style="23" customWidth="1"/>
    <col min="8706" max="8706" width="12.7109375" style="23" customWidth="1"/>
    <col min="8707" max="8722" width="11.42578125" style="23"/>
    <col min="8723" max="8723" width="10.7109375" style="23" customWidth="1"/>
    <col min="8724" max="8729" width="11.42578125" style="23"/>
    <col min="8730" max="8730" width="14.42578125" style="23" customWidth="1"/>
    <col min="8731" max="8960" width="11.42578125" style="23"/>
    <col min="8961" max="8961" width="15.7109375" style="23" customWidth="1"/>
    <col min="8962" max="8962" width="12.7109375" style="23" customWidth="1"/>
    <col min="8963" max="8978" width="11.42578125" style="23"/>
    <col min="8979" max="8979" width="10.7109375" style="23" customWidth="1"/>
    <col min="8980" max="8985" width="11.42578125" style="23"/>
    <col min="8986" max="8986" width="14.42578125" style="23" customWidth="1"/>
    <col min="8987" max="9216" width="11.42578125" style="23"/>
    <col min="9217" max="9217" width="15.7109375" style="23" customWidth="1"/>
    <col min="9218" max="9218" width="12.7109375" style="23" customWidth="1"/>
    <col min="9219" max="9234" width="11.42578125" style="23"/>
    <col min="9235" max="9235" width="10.7109375" style="23" customWidth="1"/>
    <col min="9236" max="9241" width="11.42578125" style="23"/>
    <col min="9242" max="9242" width="14.42578125" style="23" customWidth="1"/>
    <col min="9243" max="9472" width="11.42578125" style="23"/>
    <col min="9473" max="9473" width="15.7109375" style="23" customWidth="1"/>
    <col min="9474" max="9474" width="12.7109375" style="23" customWidth="1"/>
    <col min="9475" max="9490" width="11.42578125" style="23"/>
    <col min="9491" max="9491" width="10.7109375" style="23" customWidth="1"/>
    <col min="9492" max="9497" width="11.42578125" style="23"/>
    <col min="9498" max="9498" width="14.42578125" style="23" customWidth="1"/>
    <col min="9499" max="9728" width="11.42578125" style="23"/>
    <col min="9729" max="9729" width="15.7109375" style="23" customWidth="1"/>
    <col min="9730" max="9730" width="12.7109375" style="23" customWidth="1"/>
    <col min="9731" max="9746" width="11.42578125" style="23"/>
    <col min="9747" max="9747" width="10.7109375" style="23" customWidth="1"/>
    <col min="9748" max="9753" width="11.42578125" style="23"/>
    <col min="9754" max="9754" width="14.42578125" style="23" customWidth="1"/>
    <col min="9755" max="9984" width="11.42578125" style="23"/>
    <col min="9985" max="9985" width="15.7109375" style="23" customWidth="1"/>
    <col min="9986" max="9986" width="12.7109375" style="23" customWidth="1"/>
    <col min="9987" max="10002" width="11.42578125" style="23"/>
    <col min="10003" max="10003" width="10.7109375" style="23" customWidth="1"/>
    <col min="10004" max="10009" width="11.42578125" style="23"/>
    <col min="10010" max="10010" width="14.42578125" style="23" customWidth="1"/>
    <col min="10011" max="10240" width="11.42578125" style="23"/>
    <col min="10241" max="10241" width="15.7109375" style="23" customWidth="1"/>
    <col min="10242" max="10242" width="12.7109375" style="23" customWidth="1"/>
    <col min="10243" max="10258" width="11.42578125" style="23"/>
    <col min="10259" max="10259" width="10.7109375" style="23" customWidth="1"/>
    <col min="10260" max="10265" width="11.42578125" style="23"/>
    <col min="10266" max="10266" width="14.42578125" style="23" customWidth="1"/>
    <col min="10267" max="10496" width="11.42578125" style="23"/>
    <col min="10497" max="10497" width="15.7109375" style="23" customWidth="1"/>
    <col min="10498" max="10498" width="12.7109375" style="23" customWidth="1"/>
    <col min="10499" max="10514" width="11.42578125" style="23"/>
    <col min="10515" max="10515" width="10.7109375" style="23" customWidth="1"/>
    <col min="10516" max="10521" width="11.42578125" style="23"/>
    <col min="10522" max="10522" width="14.42578125" style="23" customWidth="1"/>
    <col min="10523" max="10752" width="11.42578125" style="23"/>
    <col min="10753" max="10753" width="15.7109375" style="23" customWidth="1"/>
    <col min="10754" max="10754" width="12.7109375" style="23" customWidth="1"/>
    <col min="10755" max="10770" width="11.42578125" style="23"/>
    <col min="10771" max="10771" width="10.7109375" style="23" customWidth="1"/>
    <col min="10772" max="10777" width="11.42578125" style="23"/>
    <col min="10778" max="10778" width="14.42578125" style="23" customWidth="1"/>
    <col min="10779" max="11008" width="11.42578125" style="23"/>
    <col min="11009" max="11009" width="15.7109375" style="23" customWidth="1"/>
    <col min="11010" max="11010" width="12.7109375" style="23" customWidth="1"/>
    <col min="11011" max="11026" width="11.42578125" style="23"/>
    <col min="11027" max="11027" width="10.7109375" style="23" customWidth="1"/>
    <col min="11028" max="11033" width="11.42578125" style="23"/>
    <col min="11034" max="11034" width="14.42578125" style="23" customWidth="1"/>
    <col min="11035" max="11264" width="11.42578125" style="23"/>
    <col min="11265" max="11265" width="15.7109375" style="23" customWidth="1"/>
    <col min="11266" max="11266" width="12.7109375" style="23" customWidth="1"/>
    <col min="11267" max="11282" width="11.42578125" style="23"/>
    <col min="11283" max="11283" width="10.7109375" style="23" customWidth="1"/>
    <col min="11284" max="11289" width="11.42578125" style="23"/>
    <col min="11290" max="11290" width="14.42578125" style="23" customWidth="1"/>
    <col min="11291" max="11520" width="11.42578125" style="23"/>
    <col min="11521" max="11521" width="15.7109375" style="23" customWidth="1"/>
    <col min="11522" max="11522" width="12.7109375" style="23" customWidth="1"/>
    <col min="11523" max="11538" width="11.42578125" style="23"/>
    <col min="11539" max="11539" width="10.7109375" style="23" customWidth="1"/>
    <col min="11540" max="11545" width="11.42578125" style="23"/>
    <col min="11546" max="11546" width="14.42578125" style="23" customWidth="1"/>
    <col min="11547" max="11776" width="11.42578125" style="23"/>
    <col min="11777" max="11777" width="15.7109375" style="23" customWidth="1"/>
    <col min="11778" max="11778" width="12.7109375" style="23" customWidth="1"/>
    <col min="11779" max="11794" width="11.42578125" style="23"/>
    <col min="11795" max="11795" width="10.7109375" style="23" customWidth="1"/>
    <col min="11796" max="11801" width="11.42578125" style="23"/>
    <col min="11802" max="11802" width="14.42578125" style="23" customWidth="1"/>
    <col min="11803" max="12032" width="11.42578125" style="23"/>
    <col min="12033" max="12033" width="15.7109375" style="23" customWidth="1"/>
    <col min="12034" max="12034" width="12.7109375" style="23" customWidth="1"/>
    <col min="12035" max="12050" width="11.42578125" style="23"/>
    <col min="12051" max="12051" width="10.7109375" style="23" customWidth="1"/>
    <col min="12052" max="12057" width="11.42578125" style="23"/>
    <col min="12058" max="12058" width="14.42578125" style="23" customWidth="1"/>
    <col min="12059" max="12288" width="11.42578125" style="23"/>
    <col min="12289" max="12289" width="15.7109375" style="23" customWidth="1"/>
    <col min="12290" max="12290" width="12.7109375" style="23" customWidth="1"/>
    <col min="12291" max="12306" width="11.42578125" style="23"/>
    <col min="12307" max="12307" width="10.7109375" style="23" customWidth="1"/>
    <col min="12308" max="12313" width="11.42578125" style="23"/>
    <col min="12314" max="12314" width="14.42578125" style="23" customWidth="1"/>
    <col min="12315" max="12544" width="11.42578125" style="23"/>
    <col min="12545" max="12545" width="15.7109375" style="23" customWidth="1"/>
    <col min="12546" max="12546" width="12.7109375" style="23" customWidth="1"/>
    <col min="12547" max="12562" width="11.42578125" style="23"/>
    <col min="12563" max="12563" width="10.7109375" style="23" customWidth="1"/>
    <col min="12564" max="12569" width="11.42578125" style="23"/>
    <col min="12570" max="12570" width="14.42578125" style="23" customWidth="1"/>
    <col min="12571" max="12800" width="11.42578125" style="23"/>
    <col min="12801" max="12801" width="15.7109375" style="23" customWidth="1"/>
    <col min="12802" max="12802" width="12.7109375" style="23" customWidth="1"/>
    <col min="12803" max="12818" width="11.42578125" style="23"/>
    <col min="12819" max="12819" width="10.7109375" style="23" customWidth="1"/>
    <col min="12820" max="12825" width="11.42578125" style="23"/>
    <col min="12826" max="12826" width="14.42578125" style="23" customWidth="1"/>
    <col min="12827" max="13056" width="11.42578125" style="23"/>
    <col min="13057" max="13057" width="15.7109375" style="23" customWidth="1"/>
    <col min="13058" max="13058" width="12.7109375" style="23" customWidth="1"/>
    <col min="13059" max="13074" width="11.42578125" style="23"/>
    <col min="13075" max="13075" width="10.7109375" style="23" customWidth="1"/>
    <col min="13076" max="13081" width="11.42578125" style="23"/>
    <col min="13082" max="13082" width="14.42578125" style="23" customWidth="1"/>
    <col min="13083" max="13312" width="11.42578125" style="23"/>
    <col min="13313" max="13313" width="15.7109375" style="23" customWidth="1"/>
    <col min="13314" max="13314" width="12.7109375" style="23" customWidth="1"/>
    <col min="13315" max="13330" width="11.42578125" style="23"/>
    <col min="13331" max="13331" width="10.7109375" style="23" customWidth="1"/>
    <col min="13332" max="13337" width="11.42578125" style="23"/>
    <col min="13338" max="13338" width="14.42578125" style="23" customWidth="1"/>
    <col min="13339" max="13568" width="11.42578125" style="23"/>
    <col min="13569" max="13569" width="15.7109375" style="23" customWidth="1"/>
    <col min="13570" max="13570" width="12.7109375" style="23" customWidth="1"/>
    <col min="13571" max="13586" width="11.42578125" style="23"/>
    <col min="13587" max="13587" width="10.7109375" style="23" customWidth="1"/>
    <col min="13588" max="13593" width="11.42578125" style="23"/>
    <col min="13594" max="13594" width="14.42578125" style="23" customWidth="1"/>
    <col min="13595" max="13824" width="11.42578125" style="23"/>
    <col min="13825" max="13825" width="15.7109375" style="23" customWidth="1"/>
    <col min="13826" max="13826" width="12.7109375" style="23" customWidth="1"/>
    <col min="13827" max="13842" width="11.42578125" style="23"/>
    <col min="13843" max="13843" width="10.7109375" style="23" customWidth="1"/>
    <col min="13844" max="13849" width="11.42578125" style="23"/>
    <col min="13850" max="13850" width="14.42578125" style="23" customWidth="1"/>
    <col min="13851" max="14080" width="11.42578125" style="23"/>
    <col min="14081" max="14081" width="15.7109375" style="23" customWidth="1"/>
    <col min="14082" max="14082" width="12.7109375" style="23" customWidth="1"/>
    <col min="14083" max="14098" width="11.42578125" style="23"/>
    <col min="14099" max="14099" width="10.7109375" style="23" customWidth="1"/>
    <col min="14100" max="14105" width="11.42578125" style="23"/>
    <col min="14106" max="14106" width="14.42578125" style="23" customWidth="1"/>
    <col min="14107" max="14336" width="11.42578125" style="23"/>
    <col min="14337" max="14337" width="15.7109375" style="23" customWidth="1"/>
    <col min="14338" max="14338" width="12.7109375" style="23" customWidth="1"/>
    <col min="14339" max="14354" width="11.42578125" style="23"/>
    <col min="14355" max="14355" width="10.7109375" style="23" customWidth="1"/>
    <col min="14356" max="14361" width="11.42578125" style="23"/>
    <col min="14362" max="14362" width="14.42578125" style="23" customWidth="1"/>
    <col min="14363" max="14592" width="11.42578125" style="23"/>
    <col min="14593" max="14593" width="15.7109375" style="23" customWidth="1"/>
    <col min="14594" max="14594" width="12.7109375" style="23" customWidth="1"/>
    <col min="14595" max="14610" width="11.42578125" style="23"/>
    <col min="14611" max="14611" width="10.7109375" style="23" customWidth="1"/>
    <col min="14612" max="14617" width="11.42578125" style="23"/>
    <col min="14618" max="14618" width="14.42578125" style="23" customWidth="1"/>
    <col min="14619" max="14848" width="11.42578125" style="23"/>
    <col min="14849" max="14849" width="15.7109375" style="23" customWidth="1"/>
    <col min="14850" max="14850" width="12.7109375" style="23" customWidth="1"/>
    <col min="14851" max="14866" width="11.42578125" style="23"/>
    <col min="14867" max="14867" width="10.7109375" style="23" customWidth="1"/>
    <col min="14868" max="14873" width="11.42578125" style="23"/>
    <col min="14874" max="14874" width="14.42578125" style="23" customWidth="1"/>
    <col min="14875" max="15104" width="11.42578125" style="23"/>
    <col min="15105" max="15105" width="15.7109375" style="23" customWidth="1"/>
    <col min="15106" max="15106" width="12.7109375" style="23" customWidth="1"/>
    <col min="15107" max="15122" width="11.42578125" style="23"/>
    <col min="15123" max="15123" width="10.7109375" style="23" customWidth="1"/>
    <col min="15124" max="15129" width="11.42578125" style="23"/>
    <col min="15130" max="15130" width="14.42578125" style="23" customWidth="1"/>
    <col min="15131" max="15360" width="11.42578125" style="23"/>
    <col min="15361" max="15361" width="15.7109375" style="23" customWidth="1"/>
    <col min="15362" max="15362" width="12.7109375" style="23" customWidth="1"/>
    <col min="15363" max="15378" width="11.42578125" style="23"/>
    <col min="15379" max="15379" width="10.7109375" style="23" customWidth="1"/>
    <col min="15380" max="15385" width="11.42578125" style="23"/>
    <col min="15386" max="15386" width="14.42578125" style="23" customWidth="1"/>
    <col min="15387" max="15616" width="11.42578125" style="23"/>
    <col min="15617" max="15617" width="15.7109375" style="23" customWidth="1"/>
    <col min="15618" max="15618" width="12.7109375" style="23" customWidth="1"/>
    <col min="15619" max="15634" width="11.42578125" style="23"/>
    <col min="15635" max="15635" width="10.7109375" style="23" customWidth="1"/>
    <col min="15636" max="15641" width="11.42578125" style="23"/>
    <col min="15642" max="15642" width="14.42578125" style="23" customWidth="1"/>
    <col min="15643" max="15872" width="11.42578125" style="23"/>
    <col min="15873" max="15873" width="15.7109375" style="23" customWidth="1"/>
    <col min="15874" max="15874" width="12.7109375" style="23" customWidth="1"/>
    <col min="15875" max="15890" width="11.42578125" style="23"/>
    <col min="15891" max="15891" width="10.7109375" style="23" customWidth="1"/>
    <col min="15892" max="15897" width="11.42578125" style="23"/>
    <col min="15898" max="15898" width="14.42578125" style="23" customWidth="1"/>
    <col min="15899" max="16128" width="11.42578125" style="23"/>
    <col min="16129" max="16129" width="15.7109375" style="23" customWidth="1"/>
    <col min="16130" max="16130" width="12.7109375" style="23" customWidth="1"/>
    <col min="16131" max="16146" width="11.42578125" style="23"/>
    <col min="16147" max="16147" width="10.7109375" style="23" customWidth="1"/>
    <col min="16148" max="16153" width="11.42578125" style="23"/>
    <col min="16154" max="16154" width="14.42578125" style="23" customWidth="1"/>
    <col min="16155" max="16384" width="11.42578125" style="23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46"/>
      <c r="C28" s="46"/>
      <c r="D28" s="46"/>
      <c r="E28" s="46"/>
      <c r="F28" s="46"/>
      <c r="G28" s="46"/>
      <c r="H28" s="46"/>
      <c r="I28" s="60" t="s">
        <v>51</v>
      </c>
      <c r="J28" s="46"/>
      <c r="K28" s="46"/>
      <c r="L28" s="46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5:L27"/>
  <sheetViews>
    <sheetView showGridLines="0" showRowColHeaders="0" showOutlineSymbols="0" zoomScaleNormal="100" workbookViewId="0">
      <selection activeCell="B25" sqref="B25"/>
    </sheetView>
  </sheetViews>
  <sheetFormatPr baseColWidth="10" defaultRowHeight="12.75"/>
  <cols>
    <col min="1" max="1" width="15.7109375" style="23" customWidth="1"/>
    <col min="2" max="2" width="35.7109375" style="23" customWidth="1"/>
    <col min="3" max="3" width="12.85546875" style="23" customWidth="1"/>
    <col min="4" max="4" width="13.28515625" style="23" customWidth="1"/>
    <col min="5" max="5" width="13.7109375" style="23" customWidth="1"/>
    <col min="6" max="6" width="10.7109375" style="23" customWidth="1"/>
    <col min="7" max="12" width="11.42578125" style="23"/>
    <col min="13" max="13" width="14.42578125" style="23" customWidth="1"/>
    <col min="14" max="256" width="11.42578125" style="23"/>
    <col min="257" max="257" width="15.7109375" style="23" customWidth="1"/>
    <col min="258" max="258" width="35.7109375" style="23" customWidth="1"/>
    <col min="259" max="259" width="12.85546875" style="23" customWidth="1"/>
    <col min="260" max="260" width="13.28515625" style="23" customWidth="1"/>
    <col min="261" max="261" width="13.7109375" style="23" customWidth="1"/>
    <col min="262" max="262" width="10.7109375" style="23" customWidth="1"/>
    <col min="263" max="268" width="11.42578125" style="23"/>
    <col min="269" max="269" width="14.42578125" style="23" customWidth="1"/>
    <col min="270" max="512" width="11.42578125" style="23"/>
    <col min="513" max="513" width="15.7109375" style="23" customWidth="1"/>
    <col min="514" max="514" width="35.7109375" style="23" customWidth="1"/>
    <col min="515" max="515" width="12.85546875" style="23" customWidth="1"/>
    <col min="516" max="516" width="13.28515625" style="23" customWidth="1"/>
    <col min="517" max="517" width="13.7109375" style="23" customWidth="1"/>
    <col min="518" max="518" width="10.7109375" style="23" customWidth="1"/>
    <col min="519" max="524" width="11.42578125" style="23"/>
    <col min="525" max="525" width="14.42578125" style="23" customWidth="1"/>
    <col min="526" max="768" width="11.42578125" style="23"/>
    <col min="769" max="769" width="15.7109375" style="23" customWidth="1"/>
    <col min="770" max="770" width="35.7109375" style="23" customWidth="1"/>
    <col min="771" max="771" width="12.85546875" style="23" customWidth="1"/>
    <col min="772" max="772" width="13.28515625" style="23" customWidth="1"/>
    <col min="773" max="773" width="13.7109375" style="23" customWidth="1"/>
    <col min="774" max="774" width="10.7109375" style="23" customWidth="1"/>
    <col min="775" max="780" width="11.42578125" style="23"/>
    <col min="781" max="781" width="14.42578125" style="23" customWidth="1"/>
    <col min="782" max="1024" width="11.42578125" style="23"/>
    <col min="1025" max="1025" width="15.7109375" style="23" customWidth="1"/>
    <col min="1026" max="1026" width="35.7109375" style="23" customWidth="1"/>
    <col min="1027" max="1027" width="12.85546875" style="23" customWidth="1"/>
    <col min="1028" max="1028" width="13.28515625" style="23" customWidth="1"/>
    <col min="1029" max="1029" width="13.7109375" style="23" customWidth="1"/>
    <col min="1030" max="1030" width="10.7109375" style="23" customWidth="1"/>
    <col min="1031" max="1036" width="11.42578125" style="23"/>
    <col min="1037" max="1037" width="14.42578125" style="23" customWidth="1"/>
    <col min="1038" max="1280" width="11.42578125" style="23"/>
    <col min="1281" max="1281" width="15.7109375" style="23" customWidth="1"/>
    <col min="1282" max="1282" width="35.7109375" style="23" customWidth="1"/>
    <col min="1283" max="1283" width="12.85546875" style="23" customWidth="1"/>
    <col min="1284" max="1284" width="13.28515625" style="23" customWidth="1"/>
    <col min="1285" max="1285" width="13.7109375" style="23" customWidth="1"/>
    <col min="1286" max="1286" width="10.7109375" style="23" customWidth="1"/>
    <col min="1287" max="1292" width="11.42578125" style="23"/>
    <col min="1293" max="1293" width="14.42578125" style="23" customWidth="1"/>
    <col min="1294" max="1536" width="11.42578125" style="23"/>
    <col min="1537" max="1537" width="15.7109375" style="23" customWidth="1"/>
    <col min="1538" max="1538" width="35.7109375" style="23" customWidth="1"/>
    <col min="1539" max="1539" width="12.85546875" style="23" customWidth="1"/>
    <col min="1540" max="1540" width="13.28515625" style="23" customWidth="1"/>
    <col min="1541" max="1541" width="13.7109375" style="23" customWidth="1"/>
    <col min="1542" max="1542" width="10.7109375" style="23" customWidth="1"/>
    <col min="1543" max="1548" width="11.42578125" style="23"/>
    <col min="1549" max="1549" width="14.42578125" style="23" customWidth="1"/>
    <col min="1550" max="1792" width="11.42578125" style="23"/>
    <col min="1793" max="1793" width="15.7109375" style="23" customWidth="1"/>
    <col min="1794" max="1794" width="35.7109375" style="23" customWidth="1"/>
    <col min="1795" max="1795" width="12.85546875" style="23" customWidth="1"/>
    <col min="1796" max="1796" width="13.28515625" style="23" customWidth="1"/>
    <col min="1797" max="1797" width="13.7109375" style="23" customWidth="1"/>
    <col min="1798" max="1798" width="10.7109375" style="23" customWidth="1"/>
    <col min="1799" max="1804" width="11.42578125" style="23"/>
    <col min="1805" max="1805" width="14.42578125" style="23" customWidth="1"/>
    <col min="1806" max="2048" width="11.42578125" style="23"/>
    <col min="2049" max="2049" width="15.7109375" style="23" customWidth="1"/>
    <col min="2050" max="2050" width="35.7109375" style="23" customWidth="1"/>
    <col min="2051" max="2051" width="12.85546875" style="23" customWidth="1"/>
    <col min="2052" max="2052" width="13.28515625" style="23" customWidth="1"/>
    <col min="2053" max="2053" width="13.7109375" style="23" customWidth="1"/>
    <col min="2054" max="2054" width="10.7109375" style="23" customWidth="1"/>
    <col min="2055" max="2060" width="11.42578125" style="23"/>
    <col min="2061" max="2061" width="14.42578125" style="23" customWidth="1"/>
    <col min="2062" max="2304" width="11.42578125" style="23"/>
    <col min="2305" max="2305" width="15.7109375" style="23" customWidth="1"/>
    <col min="2306" max="2306" width="35.7109375" style="23" customWidth="1"/>
    <col min="2307" max="2307" width="12.85546875" style="23" customWidth="1"/>
    <col min="2308" max="2308" width="13.28515625" style="23" customWidth="1"/>
    <col min="2309" max="2309" width="13.7109375" style="23" customWidth="1"/>
    <col min="2310" max="2310" width="10.7109375" style="23" customWidth="1"/>
    <col min="2311" max="2316" width="11.42578125" style="23"/>
    <col min="2317" max="2317" width="14.42578125" style="23" customWidth="1"/>
    <col min="2318" max="2560" width="11.42578125" style="23"/>
    <col min="2561" max="2561" width="15.7109375" style="23" customWidth="1"/>
    <col min="2562" max="2562" width="35.7109375" style="23" customWidth="1"/>
    <col min="2563" max="2563" width="12.85546875" style="23" customWidth="1"/>
    <col min="2564" max="2564" width="13.28515625" style="23" customWidth="1"/>
    <col min="2565" max="2565" width="13.7109375" style="23" customWidth="1"/>
    <col min="2566" max="2566" width="10.7109375" style="23" customWidth="1"/>
    <col min="2567" max="2572" width="11.42578125" style="23"/>
    <col min="2573" max="2573" width="14.42578125" style="23" customWidth="1"/>
    <col min="2574" max="2816" width="11.42578125" style="23"/>
    <col min="2817" max="2817" width="15.7109375" style="23" customWidth="1"/>
    <col min="2818" max="2818" width="35.7109375" style="23" customWidth="1"/>
    <col min="2819" max="2819" width="12.85546875" style="23" customWidth="1"/>
    <col min="2820" max="2820" width="13.28515625" style="23" customWidth="1"/>
    <col min="2821" max="2821" width="13.7109375" style="23" customWidth="1"/>
    <col min="2822" max="2822" width="10.7109375" style="23" customWidth="1"/>
    <col min="2823" max="2828" width="11.42578125" style="23"/>
    <col min="2829" max="2829" width="14.42578125" style="23" customWidth="1"/>
    <col min="2830" max="3072" width="11.42578125" style="23"/>
    <col min="3073" max="3073" width="15.7109375" style="23" customWidth="1"/>
    <col min="3074" max="3074" width="35.7109375" style="23" customWidth="1"/>
    <col min="3075" max="3075" width="12.85546875" style="23" customWidth="1"/>
    <col min="3076" max="3076" width="13.28515625" style="23" customWidth="1"/>
    <col min="3077" max="3077" width="13.7109375" style="23" customWidth="1"/>
    <col min="3078" max="3078" width="10.7109375" style="23" customWidth="1"/>
    <col min="3079" max="3084" width="11.42578125" style="23"/>
    <col min="3085" max="3085" width="14.42578125" style="23" customWidth="1"/>
    <col min="3086" max="3328" width="11.42578125" style="23"/>
    <col min="3329" max="3329" width="15.7109375" style="23" customWidth="1"/>
    <col min="3330" max="3330" width="35.7109375" style="23" customWidth="1"/>
    <col min="3331" max="3331" width="12.85546875" style="23" customWidth="1"/>
    <col min="3332" max="3332" width="13.28515625" style="23" customWidth="1"/>
    <col min="3333" max="3333" width="13.7109375" style="23" customWidth="1"/>
    <col min="3334" max="3334" width="10.7109375" style="23" customWidth="1"/>
    <col min="3335" max="3340" width="11.42578125" style="23"/>
    <col min="3341" max="3341" width="14.42578125" style="23" customWidth="1"/>
    <col min="3342" max="3584" width="11.42578125" style="23"/>
    <col min="3585" max="3585" width="15.7109375" style="23" customWidth="1"/>
    <col min="3586" max="3586" width="35.7109375" style="23" customWidth="1"/>
    <col min="3587" max="3587" width="12.85546875" style="23" customWidth="1"/>
    <col min="3588" max="3588" width="13.28515625" style="23" customWidth="1"/>
    <col min="3589" max="3589" width="13.7109375" style="23" customWidth="1"/>
    <col min="3590" max="3590" width="10.7109375" style="23" customWidth="1"/>
    <col min="3591" max="3596" width="11.42578125" style="23"/>
    <col min="3597" max="3597" width="14.42578125" style="23" customWidth="1"/>
    <col min="3598" max="3840" width="11.42578125" style="23"/>
    <col min="3841" max="3841" width="15.7109375" style="23" customWidth="1"/>
    <col min="3842" max="3842" width="35.7109375" style="23" customWidth="1"/>
    <col min="3843" max="3843" width="12.85546875" style="23" customWidth="1"/>
    <col min="3844" max="3844" width="13.28515625" style="23" customWidth="1"/>
    <col min="3845" max="3845" width="13.7109375" style="23" customWidth="1"/>
    <col min="3846" max="3846" width="10.7109375" style="23" customWidth="1"/>
    <col min="3847" max="3852" width="11.42578125" style="23"/>
    <col min="3853" max="3853" width="14.42578125" style="23" customWidth="1"/>
    <col min="3854" max="4096" width="11.42578125" style="23"/>
    <col min="4097" max="4097" width="15.7109375" style="23" customWidth="1"/>
    <col min="4098" max="4098" width="35.7109375" style="23" customWidth="1"/>
    <col min="4099" max="4099" width="12.85546875" style="23" customWidth="1"/>
    <col min="4100" max="4100" width="13.28515625" style="23" customWidth="1"/>
    <col min="4101" max="4101" width="13.7109375" style="23" customWidth="1"/>
    <col min="4102" max="4102" width="10.7109375" style="23" customWidth="1"/>
    <col min="4103" max="4108" width="11.42578125" style="23"/>
    <col min="4109" max="4109" width="14.42578125" style="23" customWidth="1"/>
    <col min="4110" max="4352" width="11.42578125" style="23"/>
    <col min="4353" max="4353" width="15.7109375" style="23" customWidth="1"/>
    <col min="4354" max="4354" width="35.7109375" style="23" customWidth="1"/>
    <col min="4355" max="4355" width="12.85546875" style="23" customWidth="1"/>
    <col min="4356" max="4356" width="13.28515625" style="23" customWidth="1"/>
    <col min="4357" max="4357" width="13.7109375" style="23" customWidth="1"/>
    <col min="4358" max="4358" width="10.7109375" style="23" customWidth="1"/>
    <col min="4359" max="4364" width="11.42578125" style="23"/>
    <col min="4365" max="4365" width="14.42578125" style="23" customWidth="1"/>
    <col min="4366" max="4608" width="11.42578125" style="23"/>
    <col min="4609" max="4609" width="15.7109375" style="23" customWidth="1"/>
    <col min="4610" max="4610" width="35.7109375" style="23" customWidth="1"/>
    <col min="4611" max="4611" width="12.85546875" style="23" customWidth="1"/>
    <col min="4612" max="4612" width="13.28515625" style="23" customWidth="1"/>
    <col min="4613" max="4613" width="13.7109375" style="23" customWidth="1"/>
    <col min="4614" max="4614" width="10.7109375" style="23" customWidth="1"/>
    <col min="4615" max="4620" width="11.42578125" style="23"/>
    <col min="4621" max="4621" width="14.42578125" style="23" customWidth="1"/>
    <col min="4622" max="4864" width="11.42578125" style="23"/>
    <col min="4865" max="4865" width="15.7109375" style="23" customWidth="1"/>
    <col min="4866" max="4866" width="35.7109375" style="23" customWidth="1"/>
    <col min="4867" max="4867" width="12.85546875" style="23" customWidth="1"/>
    <col min="4868" max="4868" width="13.28515625" style="23" customWidth="1"/>
    <col min="4869" max="4869" width="13.7109375" style="23" customWidth="1"/>
    <col min="4870" max="4870" width="10.7109375" style="23" customWidth="1"/>
    <col min="4871" max="4876" width="11.42578125" style="23"/>
    <col min="4877" max="4877" width="14.42578125" style="23" customWidth="1"/>
    <col min="4878" max="5120" width="11.42578125" style="23"/>
    <col min="5121" max="5121" width="15.7109375" style="23" customWidth="1"/>
    <col min="5122" max="5122" width="35.7109375" style="23" customWidth="1"/>
    <col min="5123" max="5123" width="12.85546875" style="23" customWidth="1"/>
    <col min="5124" max="5124" width="13.28515625" style="23" customWidth="1"/>
    <col min="5125" max="5125" width="13.7109375" style="23" customWidth="1"/>
    <col min="5126" max="5126" width="10.7109375" style="23" customWidth="1"/>
    <col min="5127" max="5132" width="11.42578125" style="23"/>
    <col min="5133" max="5133" width="14.42578125" style="23" customWidth="1"/>
    <col min="5134" max="5376" width="11.42578125" style="23"/>
    <col min="5377" max="5377" width="15.7109375" style="23" customWidth="1"/>
    <col min="5378" max="5378" width="35.7109375" style="23" customWidth="1"/>
    <col min="5379" max="5379" width="12.85546875" style="23" customWidth="1"/>
    <col min="5380" max="5380" width="13.28515625" style="23" customWidth="1"/>
    <col min="5381" max="5381" width="13.7109375" style="23" customWidth="1"/>
    <col min="5382" max="5382" width="10.7109375" style="23" customWidth="1"/>
    <col min="5383" max="5388" width="11.42578125" style="23"/>
    <col min="5389" max="5389" width="14.42578125" style="23" customWidth="1"/>
    <col min="5390" max="5632" width="11.42578125" style="23"/>
    <col min="5633" max="5633" width="15.7109375" style="23" customWidth="1"/>
    <col min="5634" max="5634" width="35.7109375" style="23" customWidth="1"/>
    <col min="5635" max="5635" width="12.85546875" style="23" customWidth="1"/>
    <col min="5636" max="5636" width="13.28515625" style="23" customWidth="1"/>
    <col min="5637" max="5637" width="13.7109375" style="23" customWidth="1"/>
    <col min="5638" max="5638" width="10.7109375" style="23" customWidth="1"/>
    <col min="5639" max="5644" width="11.42578125" style="23"/>
    <col min="5645" max="5645" width="14.42578125" style="23" customWidth="1"/>
    <col min="5646" max="5888" width="11.42578125" style="23"/>
    <col min="5889" max="5889" width="15.7109375" style="23" customWidth="1"/>
    <col min="5890" max="5890" width="35.7109375" style="23" customWidth="1"/>
    <col min="5891" max="5891" width="12.85546875" style="23" customWidth="1"/>
    <col min="5892" max="5892" width="13.28515625" style="23" customWidth="1"/>
    <col min="5893" max="5893" width="13.7109375" style="23" customWidth="1"/>
    <col min="5894" max="5894" width="10.7109375" style="23" customWidth="1"/>
    <col min="5895" max="5900" width="11.42578125" style="23"/>
    <col min="5901" max="5901" width="14.42578125" style="23" customWidth="1"/>
    <col min="5902" max="6144" width="11.42578125" style="23"/>
    <col min="6145" max="6145" width="15.7109375" style="23" customWidth="1"/>
    <col min="6146" max="6146" width="35.7109375" style="23" customWidth="1"/>
    <col min="6147" max="6147" width="12.85546875" style="23" customWidth="1"/>
    <col min="6148" max="6148" width="13.28515625" style="23" customWidth="1"/>
    <col min="6149" max="6149" width="13.7109375" style="23" customWidth="1"/>
    <col min="6150" max="6150" width="10.7109375" style="23" customWidth="1"/>
    <col min="6151" max="6156" width="11.42578125" style="23"/>
    <col min="6157" max="6157" width="14.42578125" style="23" customWidth="1"/>
    <col min="6158" max="6400" width="11.42578125" style="23"/>
    <col min="6401" max="6401" width="15.7109375" style="23" customWidth="1"/>
    <col min="6402" max="6402" width="35.7109375" style="23" customWidth="1"/>
    <col min="6403" max="6403" width="12.85546875" style="23" customWidth="1"/>
    <col min="6404" max="6404" width="13.28515625" style="23" customWidth="1"/>
    <col min="6405" max="6405" width="13.7109375" style="23" customWidth="1"/>
    <col min="6406" max="6406" width="10.7109375" style="23" customWidth="1"/>
    <col min="6407" max="6412" width="11.42578125" style="23"/>
    <col min="6413" max="6413" width="14.42578125" style="23" customWidth="1"/>
    <col min="6414" max="6656" width="11.42578125" style="23"/>
    <col min="6657" max="6657" width="15.7109375" style="23" customWidth="1"/>
    <col min="6658" max="6658" width="35.7109375" style="23" customWidth="1"/>
    <col min="6659" max="6659" width="12.85546875" style="23" customWidth="1"/>
    <col min="6660" max="6660" width="13.28515625" style="23" customWidth="1"/>
    <col min="6661" max="6661" width="13.7109375" style="23" customWidth="1"/>
    <col min="6662" max="6662" width="10.7109375" style="23" customWidth="1"/>
    <col min="6663" max="6668" width="11.42578125" style="23"/>
    <col min="6669" max="6669" width="14.42578125" style="23" customWidth="1"/>
    <col min="6670" max="6912" width="11.42578125" style="23"/>
    <col min="6913" max="6913" width="15.7109375" style="23" customWidth="1"/>
    <col min="6914" max="6914" width="35.7109375" style="23" customWidth="1"/>
    <col min="6915" max="6915" width="12.85546875" style="23" customWidth="1"/>
    <col min="6916" max="6916" width="13.28515625" style="23" customWidth="1"/>
    <col min="6917" max="6917" width="13.7109375" style="23" customWidth="1"/>
    <col min="6918" max="6918" width="10.7109375" style="23" customWidth="1"/>
    <col min="6919" max="6924" width="11.42578125" style="23"/>
    <col min="6925" max="6925" width="14.42578125" style="23" customWidth="1"/>
    <col min="6926" max="7168" width="11.42578125" style="23"/>
    <col min="7169" max="7169" width="15.7109375" style="23" customWidth="1"/>
    <col min="7170" max="7170" width="35.7109375" style="23" customWidth="1"/>
    <col min="7171" max="7171" width="12.85546875" style="23" customWidth="1"/>
    <col min="7172" max="7172" width="13.28515625" style="23" customWidth="1"/>
    <col min="7173" max="7173" width="13.7109375" style="23" customWidth="1"/>
    <col min="7174" max="7174" width="10.7109375" style="23" customWidth="1"/>
    <col min="7175" max="7180" width="11.42578125" style="23"/>
    <col min="7181" max="7181" width="14.42578125" style="23" customWidth="1"/>
    <col min="7182" max="7424" width="11.42578125" style="23"/>
    <col min="7425" max="7425" width="15.7109375" style="23" customWidth="1"/>
    <col min="7426" max="7426" width="35.7109375" style="23" customWidth="1"/>
    <col min="7427" max="7427" width="12.85546875" style="23" customWidth="1"/>
    <col min="7428" max="7428" width="13.28515625" style="23" customWidth="1"/>
    <col min="7429" max="7429" width="13.7109375" style="23" customWidth="1"/>
    <col min="7430" max="7430" width="10.7109375" style="23" customWidth="1"/>
    <col min="7431" max="7436" width="11.42578125" style="23"/>
    <col min="7437" max="7437" width="14.42578125" style="23" customWidth="1"/>
    <col min="7438" max="7680" width="11.42578125" style="23"/>
    <col min="7681" max="7681" width="15.7109375" style="23" customWidth="1"/>
    <col min="7682" max="7682" width="35.7109375" style="23" customWidth="1"/>
    <col min="7683" max="7683" width="12.85546875" style="23" customWidth="1"/>
    <col min="7684" max="7684" width="13.28515625" style="23" customWidth="1"/>
    <col min="7685" max="7685" width="13.7109375" style="23" customWidth="1"/>
    <col min="7686" max="7686" width="10.7109375" style="23" customWidth="1"/>
    <col min="7687" max="7692" width="11.42578125" style="23"/>
    <col min="7693" max="7693" width="14.42578125" style="23" customWidth="1"/>
    <col min="7694" max="7936" width="11.42578125" style="23"/>
    <col min="7937" max="7937" width="15.7109375" style="23" customWidth="1"/>
    <col min="7938" max="7938" width="35.7109375" style="23" customWidth="1"/>
    <col min="7939" max="7939" width="12.85546875" style="23" customWidth="1"/>
    <col min="7940" max="7940" width="13.28515625" style="23" customWidth="1"/>
    <col min="7941" max="7941" width="13.7109375" style="23" customWidth="1"/>
    <col min="7942" max="7942" width="10.7109375" style="23" customWidth="1"/>
    <col min="7943" max="7948" width="11.42578125" style="23"/>
    <col min="7949" max="7949" width="14.42578125" style="23" customWidth="1"/>
    <col min="7950" max="8192" width="11.42578125" style="23"/>
    <col min="8193" max="8193" width="15.7109375" style="23" customWidth="1"/>
    <col min="8194" max="8194" width="35.7109375" style="23" customWidth="1"/>
    <col min="8195" max="8195" width="12.85546875" style="23" customWidth="1"/>
    <col min="8196" max="8196" width="13.28515625" style="23" customWidth="1"/>
    <col min="8197" max="8197" width="13.7109375" style="23" customWidth="1"/>
    <col min="8198" max="8198" width="10.7109375" style="23" customWidth="1"/>
    <col min="8199" max="8204" width="11.42578125" style="23"/>
    <col min="8205" max="8205" width="14.42578125" style="23" customWidth="1"/>
    <col min="8206" max="8448" width="11.42578125" style="23"/>
    <col min="8449" max="8449" width="15.7109375" style="23" customWidth="1"/>
    <col min="8450" max="8450" width="35.7109375" style="23" customWidth="1"/>
    <col min="8451" max="8451" width="12.85546875" style="23" customWidth="1"/>
    <col min="8452" max="8452" width="13.28515625" style="23" customWidth="1"/>
    <col min="8453" max="8453" width="13.7109375" style="23" customWidth="1"/>
    <col min="8454" max="8454" width="10.7109375" style="23" customWidth="1"/>
    <col min="8455" max="8460" width="11.42578125" style="23"/>
    <col min="8461" max="8461" width="14.42578125" style="23" customWidth="1"/>
    <col min="8462" max="8704" width="11.42578125" style="23"/>
    <col min="8705" max="8705" width="15.7109375" style="23" customWidth="1"/>
    <col min="8706" max="8706" width="35.7109375" style="23" customWidth="1"/>
    <col min="8707" max="8707" width="12.85546875" style="23" customWidth="1"/>
    <col min="8708" max="8708" width="13.28515625" style="23" customWidth="1"/>
    <col min="8709" max="8709" width="13.7109375" style="23" customWidth="1"/>
    <col min="8710" max="8710" width="10.7109375" style="23" customWidth="1"/>
    <col min="8711" max="8716" width="11.42578125" style="23"/>
    <col min="8717" max="8717" width="14.42578125" style="23" customWidth="1"/>
    <col min="8718" max="8960" width="11.42578125" style="23"/>
    <col min="8961" max="8961" width="15.7109375" style="23" customWidth="1"/>
    <col min="8962" max="8962" width="35.7109375" style="23" customWidth="1"/>
    <col min="8963" max="8963" width="12.85546875" style="23" customWidth="1"/>
    <col min="8964" max="8964" width="13.28515625" style="23" customWidth="1"/>
    <col min="8965" max="8965" width="13.7109375" style="23" customWidth="1"/>
    <col min="8966" max="8966" width="10.7109375" style="23" customWidth="1"/>
    <col min="8967" max="8972" width="11.42578125" style="23"/>
    <col min="8973" max="8973" width="14.42578125" style="23" customWidth="1"/>
    <col min="8974" max="9216" width="11.42578125" style="23"/>
    <col min="9217" max="9217" width="15.7109375" style="23" customWidth="1"/>
    <col min="9218" max="9218" width="35.7109375" style="23" customWidth="1"/>
    <col min="9219" max="9219" width="12.85546875" style="23" customWidth="1"/>
    <col min="9220" max="9220" width="13.28515625" style="23" customWidth="1"/>
    <col min="9221" max="9221" width="13.7109375" style="23" customWidth="1"/>
    <col min="9222" max="9222" width="10.7109375" style="23" customWidth="1"/>
    <col min="9223" max="9228" width="11.42578125" style="23"/>
    <col min="9229" max="9229" width="14.42578125" style="23" customWidth="1"/>
    <col min="9230" max="9472" width="11.42578125" style="23"/>
    <col min="9473" max="9473" width="15.7109375" style="23" customWidth="1"/>
    <col min="9474" max="9474" width="35.7109375" style="23" customWidth="1"/>
    <col min="9475" max="9475" width="12.85546875" style="23" customWidth="1"/>
    <col min="9476" max="9476" width="13.28515625" style="23" customWidth="1"/>
    <col min="9477" max="9477" width="13.7109375" style="23" customWidth="1"/>
    <col min="9478" max="9478" width="10.7109375" style="23" customWidth="1"/>
    <col min="9479" max="9484" width="11.42578125" style="23"/>
    <col min="9485" max="9485" width="14.42578125" style="23" customWidth="1"/>
    <col min="9486" max="9728" width="11.42578125" style="23"/>
    <col min="9729" max="9729" width="15.7109375" style="23" customWidth="1"/>
    <col min="9730" max="9730" width="35.7109375" style="23" customWidth="1"/>
    <col min="9731" max="9731" width="12.85546875" style="23" customWidth="1"/>
    <col min="9732" max="9732" width="13.28515625" style="23" customWidth="1"/>
    <col min="9733" max="9733" width="13.7109375" style="23" customWidth="1"/>
    <col min="9734" max="9734" width="10.7109375" style="23" customWidth="1"/>
    <col min="9735" max="9740" width="11.42578125" style="23"/>
    <col min="9741" max="9741" width="14.42578125" style="23" customWidth="1"/>
    <col min="9742" max="9984" width="11.42578125" style="23"/>
    <col min="9985" max="9985" width="15.7109375" style="23" customWidth="1"/>
    <col min="9986" max="9986" width="35.7109375" style="23" customWidth="1"/>
    <col min="9987" max="9987" width="12.85546875" style="23" customWidth="1"/>
    <col min="9988" max="9988" width="13.28515625" style="23" customWidth="1"/>
    <col min="9989" max="9989" width="13.7109375" style="23" customWidth="1"/>
    <col min="9990" max="9990" width="10.7109375" style="23" customWidth="1"/>
    <col min="9991" max="9996" width="11.42578125" style="23"/>
    <col min="9997" max="9997" width="14.42578125" style="23" customWidth="1"/>
    <col min="9998" max="10240" width="11.42578125" style="23"/>
    <col min="10241" max="10241" width="15.7109375" style="23" customWidth="1"/>
    <col min="10242" max="10242" width="35.7109375" style="23" customWidth="1"/>
    <col min="10243" max="10243" width="12.85546875" style="23" customWidth="1"/>
    <col min="10244" max="10244" width="13.28515625" style="23" customWidth="1"/>
    <col min="10245" max="10245" width="13.7109375" style="23" customWidth="1"/>
    <col min="10246" max="10246" width="10.7109375" style="23" customWidth="1"/>
    <col min="10247" max="10252" width="11.42578125" style="23"/>
    <col min="10253" max="10253" width="14.42578125" style="23" customWidth="1"/>
    <col min="10254" max="10496" width="11.42578125" style="23"/>
    <col min="10497" max="10497" width="15.7109375" style="23" customWidth="1"/>
    <col min="10498" max="10498" width="35.7109375" style="23" customWidth="1"/>
    <col min="10499" max="10499" width="12.85546875" style="23" customWidth="1"/>
    <col min="10500" max="10500" width="13.28515625" style="23" customWidth="1"/>
    <col min="10501" max="10501" width="13.7109375" style="23" customWidth="1"/>
    <col min="10502" max="10502" width="10.7109375" style="23" customWidth="1"/>
    <col min="10503" max="10508" width="11.42578125" style="23"/>
    <col min="10509" max="10509" width="14.42578125" style="23" customWidth="1"/>
    <col min="10510" max="10752" width="11.42578125" style="23"/>
    <col min="10753" max="10753" width="15.7109375" style="23" customWidth="1"/>
    <col min="10754" max="10754" width="35.7109375" style="23" customWidth="1"/>
    <col min="10755" max="10755" width="12.85546875" style="23" customWidth="1"/>
    <col min="10756" max="10756" width="13.28515625" style="23" customWidth="1"/>
    <col min="10757" max="10757" width="13.7109375" style="23" customWidth="1"/>
    <col min="10758" max="10758" width="10.7109375" style="23" customWidth="1"/>
    <col min="10759" max="10764" width="11.42578125" style="23"/>
    <col min="10765" max="10765" width="14.42578125" style="23" customWidth="1"/>
    <col min="10766" max="11008" width="11.42578125" style="23"/>
    <col min="11009" max="11009" width="15.7109375" style="23" customWidth="1"/>
    <col min="11010" max="11010" width="35.7109375" style="23" customWidth="1"/>
    <col min="11011" max="11011" width="12.85546875" style="23" customWidth="1"/>
    <col min="11012" max="11012" width="13.28515625" style="23" customWidth="1"/>
    <col min="11013" max="11013" width="13.7109375" style="23" customWidth="1"/>
    <col min="11014" max="11014" width="10.7109375" style="23" customWidth="1"/>
    <col min="11015" max="11020" width="11.42578125" style="23"/>
    <col min="11021" max="11021" width="14.42578125" style="23" customWidth="1"/>
    <col min="11022" max="11264" width="11.42578125" style="23"/>
    <col min="11265" max="11265" width="15.7109375" style="23" customWidth="1"/>
    <col min="11266" max="11266" width="35.7109375" style="23" customWidth="1"/>
    <col min="11267" max="11267" width="12.85546875" style="23" customWidth="1"/>
    <col min="11268" max="11268" width="13.28515625" style="23" customWidth="1"/>
    <col min="11269" max="11269" width="13.7109375" style="23" customWidth="1"/>
    <col min="11270" max="11270" width="10.7109375" style="23" customWidth="1"/>
    <col min="11271" max="11276" width="11.42578125" style="23"/>
    <col min="11277" max="11277" width="14.42578125" style="23" customWidth="1"/>
    <col min="11278" max="11520" width="11.42578125" style="23"/>
    <col min="11521" max="11521" width="15.7109375" style="23" customWidth="1"/>
    <col min="11522" max="11522" width="35.7109375" style="23" customWidth="1"/>
    <col min="11523" max="11523" width="12.85546875" style="23" customWidth="1"/>
    <col min="11524" max="11524" width="13.28515625" style="23" customWidth="1"/>
    <col min="11525" max="11525" width="13.7109375" style="23" customWidth="1"/>
    <col min="11526" max="11526" width="10.7109375" style="23" customWidth="1"/>
    <col min="11527" max="11532" width="11.42578125" style="23"/>
    <col min="11533" max="11533" width="14.42578125" style="23" customWidth="1"/>
    <col min="11534" max="11776" width="11.42578125" style="23"/>
    <col min="11777" max="11777" width="15.7109375" style="23" customWidth="1"/>
    <col min="11778" max="11778" width="35.7109375" style="23" customWidth="1"/>
    <col min="11779" max="11779" width="12.85546875" style="23" customWidth="1"/>
    <col min="11780" max="11780" width="13.28515625" style="23" customWidth="1"/>
    <col min="11781" max="11781" width="13.7109375" style="23" customWidth="1"/>
    <col min="11782" max="11782" width="10.7109375" style="23" customWidth="1"/>
    <col min="11783" max="11788" width="11.42578125" style="23"/>
    <col min="11789" max="11789" width="14.42578125" style="23" customWidth="1"/>
    <col min="11790" max="12032" width="11.42578125" style="23"/>
    <col min="12033" max="12033" width="15.7109375" style="23" customWidth="1"/>
    <col min="12034" max="12034" width="35.7109375" style="23" customWidth="1"/>
    <col min="12035" max="12035" width="12.85546875" style="23" customWidth="1"/>
    <col min="12036" max="12036" width="13.28515625" style="23" customWidth="1"/>
    <col min="12037" max="12037" width="13.7109375" style="23" customWidth="1"/>
    <col min="12038" max="12038" width="10.7109375" style="23" customWidth="1"/>
    <col min="12039" max="12044" width="11.42578125" style="23"/>
    <col min="12045" max="12045" width="14.42578125" style="23" customWidth="1"/>
    <col min="12046" max="12288" width="11.42578125" style="23"/>
    <col min="12289" max="12289" width="15.7109375" style="23" customWidth="1"/>
    <col min="12290" max="12290" width="35.7109375" style="23" customWidth="1"/>
    <col min="12291" max="12291" width="12.85546875" style="23" customWidth="1"/>
    <col min="12292" max="12292" width="13.28515625" style="23" customWidth="1"/>
    <col min="12293" max="12293" width="13.7109375" style="23" customWidth="1"/>
    <col min="12294" max="12294" width="10.7109375" style="23" customWidth="1"/>
    <col min="12295" max="12300" width="11.42578125" style="23"/>
    <col min="12301" max="12301" width="14.42578125" style="23" customWidth="1"/>
    <col min="12302" max="12544" width="11.42578125" style="23"/>
    <col min="12545" max="12545" width="15.7109375" style="23" customWidth="1"/>
    <col min="12546" max="12546" width="35.7109375" style="23" customWidth="1"/>
    <col min="12547" max="12547" width="12.85546875" style="23" customWidth="1"/>
    <col min="12548" max="12548" width="13.28515625" style="23" customWidth="1"/>
    <col min="12549" max="12549" width="13.7109375" style="23" customWidth="1"/>
    <col min="12550" max="12550" width="10.7109375" style="23" customWidth="1"/>
    <col min="12551" max="12556" width="11.42578125" style="23"/>
    <col min="12557" max="12557" width="14.42578125" style="23" customWidth="1"/>
    <col min="12558" max="12800" width="11.42578125" style="23"/>
    <col min="12801" max="12801" width="15.7109375" style="23" customWidth="1"/>
    <col min="12802" max="12802" width="35.7109375" style="23" customWidth="1"/>
    <col min="12803" max="12803" width="12.85546875" style="23" customWidth="1"/>
    <col min="12804" max="12804" width="13.28515625" style="23" customWidth="1"/>
    <col min="12805" max="12805" width="13.7109375" style="23" customWidth="1"/>
    <col min="12806" max="12806" width="10.7109375" style="23" customWidth="1"/>
    <col min="12807" max="12812" width="11.42578125" style="23"/>
    <col min="12813" max="12813" width="14.42578125" style="23" customWidth="1"/>
    <col min="12814" max="13056" width="11.42578125" style="23"/>
    <col min="13057" max="13057" width="15.7109375" style="23" customWidth="1"/>
    <col min="13058" max="13058" width="35.7109375" style="23" customWidth="1"/>
    <col min="13059" max="13059" width="12.85546875" style="23" customWidth="1"/>
    <col min="13060" max="13060" width="13.28515625" style="23" customWidth="1"/>
    <col min="13061" max="13061" width="13.7109375" style="23" customWidth="1"/>
    <col min="13062" max="13062" width="10.7109375" style="23" customWidth="1"/>
    <col min="13063" max="13068" width="11.42578125" style="23"/>
    <col min="13069" max="13069" width="14.42578125" style="23" customWidth="1"/>
    <col min="13070" max="13312" width="11.42578125" style="23"/>
    <col min="13313" max="13313" width="15.7109375" style="23" customWidth="1"/>
    <col min="13314" max="13314" width="35.7109375" style="23" customWidth="1"/>
    <col min="13315" max="13315" width="12.85546875" style="23" customWidth="1"/>
    <col min="13316" max="13316" width="13.28515625" style="23" customWidth="1"/>
    <col min="13317" max="13317" width="13.7109375" style="23" customWidth="1"/>
    <col min="13318" max="13318" width="10.7109375" style="23" customWidth="1"/>
    <col min="13319" max="13324" width="11.42578125" style="23"/>
    <col min="13325" max="13325" width="14.42578125" style="23" customWidth="1"/>
    <col min="13326" max="13568" width="11.42578125" style="23"/>
    <col min="13569" max="13569" width="15.7109375" style="23" customWidth="1"/>
    <col min="13570" max="13570" width="35.7109375" style="23" customWidth="1"/>
    <col min="13571" max="13571" width="12.85546875" style="23" customWidth="1"/>
    <col min="13572" max="13572" width="13.28515625" style="23" customWidth="1"/>
    <col min="13573" max="13573" width="13.7109375" style="23" customWidth="1"/>
    <col min="13574" max="13574" width="10.7109375" style="23" customWidth="1"/>
    <col min="13575" max="13580" width="11.42578125" style="23"/>
    <col min="13581" max="13581" width="14.42578125" style="23" customWidth="1"/>
    <col min="13582" max="13824" width="11.42578125" style="23"/>
    <col min="13825" max="13825" width="15.7109375" style="23" customWidth="1"/>
    <col min="13826" max="13826" width="35.7109375" style="23" customWidth="1"/>
    <col min="13827" max="13827" width="12.85546875" style="23" customWidth="1"/>
    <col min="13828" max="13828" width="13.28515625" style="23" customWidth="1"/>
    <col min="13829" max="13829" width="13.7109375" style="23" customWidth="1"/>
    <col min="13830" max="13830" width="10.7109375" style="23" customWidth="1"/>
    <col min="13831" max="13836" width="11.42578125" style="23"/>
    <col min="13837" max="13837" width="14.42578125" style="23" customWidth="1"/>
    <col min="13838" max="14080" width="11.42578125" style="23"/>
    <col min="14081" max="14081" width="15.7109375" style="23" customWidth="1"/>
    <col min="14082" max="14082" width="35.7109375" style="23" customWidth="1"/>
    <col min="14083" max="14083" width="12.85546875" style="23" customWidth="1"/>
    <col min="14084" max="14084" width="13.28515625" style="23" customWidth="1"/>
    <col min="14085" max="14085" width="13.7109375" style="23" customWidth="1"/>
    <col min="14086" max="14086" width="10.7109375" style="23" customWidth="1"/>
    <col min="14087" max="14092" width="11.42578125" style="23"/>
    <col min="14093" max="14093" width="14.42578125" style="23" customWidth="1"/>
    <col min="14094" max="14336" width="11.42578125" style="23"/>
    <col min="14337" max="14337" width="15.7109375" style="23" customWidth="1"/>
    <col min="14338" max="14338" width="35.7109375" style="23" customWidth="1"/>
    <col min="14339" max="14339" width="12.85546875" style="23" customWidth="1"/>
    <col min="14340" max="14340" width="13.28515625" style="23" customWidth="1"/>
    <col min="14341" max="14341" width="13.7109375" style="23" customWidth="1"/>
    <col min="14342" max="14342" width="10.7109375" style="23" customWidth="1"/>
    <col min="14343" max="14348" width="11.42578125" style="23"/>
    <col min="14349" max="14349" width="14.42578125" style="23" customWidth="1"/>
    <col min="14350" max="14592" width="11.42578125" style="23"/>
    <col min="14593" max="14593" width="15.7109375" style="23" customWidth="1"/>
    <col min="14594" max="14594" width="35.7109375" style="23" customWidth="1"/>
    <col min="14595" max="14595" width="12.85546875" style="23" customWidth="1"/>
    <col min="14596" max="14596" width="13.28515625" style="23" customWidth="1"/>
    <col min="14597" max="14597" width="13.7109375" style="23" customWidth="1"/>
    <col min="14598" max="14598" width="10.7109375" style="23" customWidth="1"/>
    <col min="14599" max="14604" width="11.42578125" style="23"/>
    <col min="14605" max="14605" width="14.42578125" style="23" customWidth="1"/>
    <col min="14606" max="14848" width="11.42578125" style="23"/>
    <col min="14849" max="14849" width="15.7109375" style="23" customWidth="1"/>
    <col min="14850" max="14850" width="35.7109375" style="23" customWidth="1"/>
    <col min="14851" max="14851" width="12.85546875" style="23" customWidth="1"/>
    <col min="14852" max="14852" width="13.28515625" style="23" customWidth="1"/>
    <col min="14853" max="14853" width="13.7109375" style="23" customWidth="1"/>
    <col min="14854" max="14854" width="10.7109375" style="23" customWidth="1"/>
    <col min="14855" max="14860" width="11.42578125" style="23"/>
    <col min="14861" max="14861" width="14.42578125" style="23" customWidth="1"/>
    <col min="14862" max="15104" width="11.42578125" style="23"/>
    <col min="15105" max="15105" width="15.7109375" style="23" customWidth="1"/>
    <col min="15106" max="15106" width="35.7109375" style="23" customWidth="1"/>
    <col min="15107" max="15107" width="12.85546875" style="23" customWidth="1"/>
    <col min="15108" max="15108" width="13.28515625" style="23" customWidth="1"/>
    <col min="15109" max="15109" width="13.7109375" style="23" customWidth="1"/>
    <col min="15110" max="15110" width="10.7109375" style="23" customWidth="1"/>
    <col min="15111" max="15116" width="11.42578125" style="23"/>
    <col min="15117" max="15117" width="14.42578125" style="23" customWidth="1"/>
    <col min="15118" max="15360" width="11.42578125" style="23"/>
    <col min="15361" max="15361" width="15.7109375" style="23" customWidth="1"/>
    <col min="15362" max="15362" width="35.7109375" style="23" customWidth="1"/>
    <col min="15363" max="15363" width="12.85546875" style="23" customWidth="1"/>
    <col min="15364" max="15364" width="13.28515625" style="23" customWidth="1"/>
    <col min="15365" max="15365" width="13.7109375" style="23" customWidth="1"/>
    <col min="15366" max="15366" width="10.7109375" style="23" customWidth="1"/>
    <col min="15367" max="15372" width="11.42578125" style="23"/>
    <col min="15373" max="15373" width="14.42578125" style="23" customWidth="1"/>
    <col min="15374" max="15616" width="11.42578125" style="23"/>
    <col min="15617" max="15617" width="15.7109375" style="23" customWidth="1"/>
    <col min="15618" max="15618" width="35.7109375" style="23" customWidth="1"/>
    <col min="15619" max="15619" width="12.85546875" style="23" customWidth="1"/>
    <col min="15620" max="15620" width="13.28515625" style="23" customWidth="1"/>
    <col min="15621" max="15621" width="13.7109375" style="23" customWidth="1"/>
    <col min="15622" max="15622" width="10.7109375" style="23" customWidth="1"/>
    <col min="15623" max="15628" width="11.42578125" style="23"/>
    <col min="15629" max="15629" width="14.42578125" style="23" customWidth="1"/>
    <col min="15630" max="15872" width="11.42578125" style="23"/>
    <col min="15873" max="15873" width="15.7109375" style="23" customWidth="1"/>
    <col min="15874" max="15874" width="35.7109375" style="23" customWidth="1"/>
    <col min="15875" max="15875" width="12.85546875" style="23" customWidth="1"/>
    <col min="15876" max="15876" width="13.28515625" style="23" customWidth="1"/>
    <col min="15877" max="15877" width="13.7109375" style="23" customWidth="1"/>
    <col min="15878" max="15878" width="10.7109375" style="23" customWidth="1"/>
    <col min="15879" max="15884" width="11.42578125" style="23"/>
    <col min="15885" max="15885" width="14.42578125" style="23" customWidth="1"/>
    <col min="15886" max="16128" width="11.42578125" style="23"/>
    <col min="16129" max="16129" width="15.7109375" style="23" customWidth="1"/>
    <col min="16130" max="16130" width="35.7109375" style="23" customWidth="1"/>
    <col min="16131" max="16131" width="12.85546875" style="23" customWidth="1"/>
    <col min="16132" max="16132" width="13.28515625" style="23" customWidth="1"/>
    <col min="16133" max="16133" width="13.7109375" style="23" customWidth="1"/>
    <col min="16134" max="16134" width="10.7109375" style="23" customWidth="1"/>
    <col min="16135" max="16140" width="11.42578125" style="23"/>
    <col min="16141" max="16141" width="14.42578125" style="23" customWidth="1"/>
    <col min="16142" max="16384" width="11.42578125" style="23"/>
  </cols>
  <sheetData>
    <row r="5" spans="2:7" ht="25.5" customHeight="1"/>
    <row r="6" spans="2:7" ht="30" customHeight="1">
      <c r="B6" s="405" t="s">
        <v>286</v>
      </c>
      <c r="C6" s="406"/>
      <c r="D6" s="406"/>
      <c r="E6" s="407"/>
    </row>
    <row r="7" spans="2:7" ht="38.25" customHeight="1">
      <c r="B7" s="30" t="s">
        <v>238</v>
      </c>
      <c r="C7" s="223" t="str">
        <f>actualizaciones!A3</f>
        <v>acumulado julio 2009</v>
      </c>
      <c r="D7" s="223" t="str">
        <f>actualizaciones!A2</f>
        <v xml:space="preserve">acumulado julio 2010 </v>
      </c>
      <c r="E7" s="354" t="s">
        <v>280</v>
      </c>
    </row>
    <row r="8" spans="2:7" ht="15" customHeight="1">
      <c r="B8" s="98" t="s">
        <v>239</v>
      </c>
      <c r="C8" s="99"/>
      <c r="D8" s="107"/>
      <c r="E8" s="108"/>
      <c r="G8" s="2"/>
    </row>
    <row r="9" spans="2:7">
      <c r="B9" s="33" t="s">
        <v>281</v>
      </c>
      <c r="C9" s="398">
        <f>'[1]tabla dinámica municipios'!$K$298</f>
        <v>8.1532598605680882</v>
      </c>
      <c r="D9" s="398">
        <f>'[1]tabla dinámica municipios'!$U$298</f>
        <v>7.8662886756998951</v>
      </c>
      <c r="E9" s="408">
        <f>D9-C9</f>
        <v>-0.28697118486819306</v>
      </c>
    </row>
    <row r="10" spans="2:7" ht="15" customHeight="1">
      <c r="B10" s="98" t="s">
        <v>241</v>
      </c>
      <c r="C10" s="378"/>
      <c r="D10" s="378"/>
      <c r="E10" s="108"/>
    </row>
    <row r="11" spans="2:7">
      <c r="B11" s="111" t="s">
        <v>242</v>
      </c>
      <c r="C11" s="350">
        <f>'[1]tabla dinámica municipios'!$J$298</f>
        <v>7.8624342994195553</v>
      </c>
      <c r="D11" s="350">
        <f>'[1]tabla dinámica municipios'!$T$298</f>
        <v>7.5495798162773262</v>
      </c>
      <c r="E11" s="409">
        <f>D11-C11</f>
        <v>-0.31285448314222908</v>
      </c>
    </row>
    <row r="12" spans="2:7">
      <c r="B12" s="111" t="s">
        <v>243</v>
      </c>
      <c r="C12" s="350">
        <f>'[1]tabla dinámica municipios'!$H$298</f>
        <v>7.0403310578142939</v>
      </c>
      <c r="D12" s="350">
        <f>'[1]tabla dinámica municipios'!$R$298</f>
        <v>6.8197293570074127</v>
      </c>
      <c r="E12" s="409">
        <f>D12-C12</f>
        <v>-0.22060170080688124</v>
      </c>
    </row>
    <row r="13" spans="2:7">
      <c r="B13" s="111" t="s">
        <v>244</v>
      </c>
      <c r="C13" s="350">
        <f>'[1]tabla dinámica municipios'!$F$298</f>
        <v>7.8551633954368834</v>
      </c>
      <c r="D13" s="350">
        <f>'[1]tabla dinámica municipios'!$P$298</f>
        <v>7.6012954952098388</v>
      </c>
      <c r="E13" s="409">
        <f>D13-C13</f>
        <v>-0.25386790022704453</v>
      </c>
    </row>
    <row r="14" spans="2:7">
      <c r="B14" s="111" t="s">
        <v>245</v>
      </c>
      <c r="C14" s="350">
        <f>'[1]tabla dinámica municipios'!$E$298</f>
        <v>8.5624304832980513</v>
      </c>
      <c r="D14" s="350">
        <f>'[1]tabla dinámica municipios'!$O$298</f>
        <v>8.0533512306043331</v>
      </c>
      <c r="E14" s="409">
        <f>D14-C14</f>
        <v>-0.50907925269371823</v>
      </c>
    </row>
    <row r="15" spans="2:7">
      <c r="B15" s="111" t="s">
        <v>246</v>
      </c>
      <c r="C15" s="350">
        <f>'[1]tabla dinámica municipios'!$C$298</f>
        <v>7.1304167959458065</v>
      </c>
      <c r="D15" s="350">
        <f>'[1]tabla dinámica municipios'!$M$298</f>
        <v>7.0084439083232812</v>
      </c>
      <c r="E15" s="409">
        <f>D15-C15</f>
        <v>-0.12197288762252523</v>
      </c>
    </row>
    <row r="16" spans="2:7" ht="15" customHeight="1">
      <c r="B16" s="98" t="s">
        <v>247</v>
      </c>
      <c r="C16" s="378"/>
      <c r="D16" s="378"/>
      <c r="E16" s="108"/>
    </row>
    <row r="17" spans="2:12">
      <c r="B17" s="337" t="s">
        <v>248</v>
      </c>
      <c r="C17" s="382">
        <f>'[1]tabla dinámica municipios'!$I$298</f>
        <v>8.6704294442486187</v>
      </c>
      <c r="D17" s="382">
        <f>'[1]tabla dinámica municipios'!$S$298</f>
        <v>8.4760431611669063</v>
      </c>
      <c r="E17" s="410">
        <f>D17-C17</f>
        <v>-0.19438628308171246</v>
      </c>
    </row>
    <row r="18" spans="2:12">
      <c r="B18" s="42" t="s">
        <v>287</v>
      </c>
      <c r="C18" s="43"/>
      <c r="D18" s="43"/>
      <c r="E18" s="352"/>
    </row>
    <row r="19" spans="2:12" ht="15" customHeight="1" thickBot="1"/>
    <row r="20" spans="2:12" ht="30" customHeight="1" thickBot="1">
      <c r="E20" s="60" t="s">
        <v>49</v>
      </c>
    </row>
    <row r="27" spans="2:12"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</row>
  </sheetData>
  <mergeCells count="1">
    <mergeCell ref="B6:E6"/>
  </mergeCells>
  <hyperlinks>
    <hyperlink ref="E20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B25" sqref="B25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12"/>
      <c r="C28" s="12"/>
      <c r="D28" s="12"/>
      <c r="E28" s="12"/>
      <c r="F28" s="12"/>
      <c r="G28" s="12"/>
      <c r="H28" s="12"/>
      <c r="I28" s="60" t="s">
        <v>51</v>
      </c>
      <c r="J28" s="12"/>
      <c r="K28" s="12"/>
      <c r="L28" s="1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C2:F58"/>
  <sheetViews>
    <sheetView showGridLines="0" showRowColHeaders="0" zoomScaleNormal="100" workbookViewId="0">
      <selection activeCell="B25" sqref="B25"/>
    </sheetView>
  </sheetViews>
  <sheetFormatPr baseColWidth="10" defaultRowHeight="15" outlineLevelRow="1"/>
  <cols>
    <col min="1" max="1" width="14.42578125" customWidth="1"/>
    <col min="4" max="6" width="14.42578125" customWidth="1"/>
  </cols>
  <sheetData>
    <row r="2" spans="3:6" ht="43.5" customHeight="1"/>
    <row r="3" spans="3:6" ht="41.25" customHeight="1">
      <c r="C3" s="47" t="s">
        <v>52</v>
      </c>
      <c r="D3" s="47"/>
      <c r="E3" s="47"/>
      <c r="F3" s="47"/>
    </row>
    <row r="4" spans="3:6" ht="15" customHeight="1">
      <c r="C4" s="64"/>
      <c r="D4" s="65" t="s">
        <v>53</v>
      </c>
      <c r="E4" s="65" t="s">
        <v>35</v>
      </c>
      <c r="F4" s="65" t="s">
        <v>36</v>
      </c>
    </row>
    <row r="5" spans="3:6">
      <c r="C5" s="66"/>
      <c r="D5" s="67"/>
      <c r="E5" s="67"/>
      <c r="F5" s="67"/>
    </row>
    <row r="6" spans="3:6" hidden="1">
      <c r="C6" s="51" t="s">
        <v>37</v>
      </c>
      <c r="D6" s="68" t="str">
        <f>IFERROR('tab. Turistas alojados tip'!D5/'tab. Turistas alojados tip'!D18-1,"-")</f>
        <v>-</v>
      </c>
      <c r="E6" s="68" t="str">
        <f>IFERROR('tab. Turistas alojados tip'!E5/'tab. Turistas alojados tip'!E18-1,"-")</f>
        <v>-</v>
      </c>
      <c r="F6" s="68" t="str">
        <f>IFERROR('tab. Turistas alojados tip'!F5/'tab. Turistas alojados tip'!F18-1,"-")</f>
        <v>-</v>
      </c>
    </row>
    <row r="7" spans="3:6" hidden="1">
      <c r="C7" s="51" t="s">
        <v>38</v>
      </c>
      <c r="D7" s="68" t="str">
        <f>IFERROR('tab. Turistas alojados tip'!D6/'tab. Turistas alojados tip'!D19-1,"-")</f>
        <v>-</v>
      </c>
      <c r="E7" s="68" t="str">
        <f>IFERROR('tab. Turistas alojados tip'!E6/'tab. Turistas alojados tip'!E19-1,"-")</f>
        <v>-</v>
      </c>
      <c r="F7" s="68" t="str">
        <f>IFERROR('tab. Turistas alojados tip'!F6/'tab. Turistas alojados tip'!F19-1,"-")</f>
        <v>-</v>
      </c>
    </row>
    <row r="8" spans="3:6" hidden="1">
      <c r="C8" s="51" t="s">
        <v>39</v>
      </c>
      <c r="D8" s="68" t="str">
        <f>IFERROR('tab. Turistas alojados tip'!D7/'tab. Turistas alojados tip'!D20-1,"-")</f>
        <v>-</v>
      </c>
      <c r="E8" s="68" t="str">
        <f>IFERROR('tab. Turistas alojados tip'!E7/'tab. Turistas alojados tip'!E20-1,"-")</f>
        <v>-</v>
      </c>
      <c r="F8" s="68" t="str">
        <f>IFERROR('tab. Turistas alojados tip'!F7/'tab. Turistas alojados tip'!F20-1,"-")</f>
        <v>-</v>
      </c>
    </row>
    <row r="9" spans="3:6" hidden="1">
      <c r="C9" s="51" t="s">
        <v>40</v>
      </c>
      <c r="D9" s="68" t="str">
        <f>IFERROR('tab. Turistas alojados tip'!D8/'tab. Turistas alojados tip'!D21-1,"-")</f>
        <v>-</v>
      </c>
      <c r="E9" s="68" t="str">
        <f>IFERROR('tab. Turistas alojados tip'!E8/'tab. Turistas alojados tip'!E21-1,"-")</f>
        <v>-</v>
      </c>
      <c r="F9" s="68" t="str">
        <f>IFERROR('tab. Turistas alojados tip'!F8/'tab. Turistas alojados tip'!F21-1,"-")</f>
        <v>-</v>
      </c>
    </row>
    <row r="10" spans="3:6" hidden="1">
      <c r="C10" s="51" t="s">
        <v>41</v>
      </c>
      <c r="D10" s="68" t="str">
        <f>IFERROR('tab. Turistas alojados tip'!D9/'tab. Turistas alojados tip'!D22-1,"-")</f>
        <v>-</v>
      </c>
      <c r="E10" s="68" t="str">
        <f>IFERROR('tab. Turistas alojados tip'!E9/'tab. Turistas alojados tip'!E22-1,"-")</f>
        <v>-</v>
      </c>
      <c r="F10" s="68" t="str">
        <f>IFERROR('tab. Turistas alojados tip'!F9/'tab. Turistas alojados tip'!F22-1,"-")</f>
        <v>-</v>
      </c>
    </row>
    <row r="11" spans="3:6">
      <c r="C11" s="51" t="s">
        <v>42</v>
      </c>
      <c r="D11" s="68">
        <f>IFERROR('tab. Turistas alojados tip'!D10/'tab. Turistas alojados tip'!D23-1,"-")</f>
        <v>6.8033046373170647E-2</v>
      </c>
      <c r="E11" s="68">
        <f>IFERROR('tab. Turistas alojados tip'!E10/'tab. Turistas alojados tip'!E23-1,"-")</f>
        <v>8.044624970133607E-2</v>
      </c>
      <c r="F11" s="68">
        <f>IFERROR('tab. Turistas alojados tip'!F10/'tab. Turistas alojados tip'!F23-1,"-")</f>
        <v>7.2466717432975392E-2</v>
      </c>
    </row>
    <row r="12" spans="3:6">
      <c r="C12" s="51" t="s">
        <v>43</v>
      </c>
      <c r="D12" s="68">
        <f>IFERROR('tab. Turistas alojados tip'!D11/'tab. Turistas alojados tip'!D24-1,"-")</f>
        <v>7.9757521104180773E-2</v>
      </c>
      <c r="E12" s="68">
        <f>IFERROR('tab. Turistas alojados tip'!E11/'tab. Turistas alojados tip'!E24-1,"-")</f>
        <v>2.748826573594898E-2</v>
      </c>
      <c r="F12" s="68">
        <f>IFERROR('tab. Turistas alojados tip'!F11/'tab. Turistas alojados tip'!F24-1,"-")</f>
        <v>6.1868239597320906E-2</v>
      </c>
    </row>
    <row r="13" spans="3:6">
      <c r="C13" s="51" t="s">
        <v>44</v>
      </c>
      <c r="D13" s="68">
        <f>IFERROR('tab. Turistas alojados tip'!D12/'tab. Turistas alojados tip'!D25-1,"-")</f>
        <v>9.8476314697337974E-2</v>
      </c>
      <c r="E13" s="68">
        <f>IFERROR('tab. Turistas alojados tip'!E12/'tab. Turistas alojados tip'!E25-1,"-")</f>
        <v>8.318584070796442E-3</v>
      </c>
      <c r="F13" s="68">
        <f>IFERROR('tab. Turistas alojados tip'!F12/'tab. Turistas alojados tip'!F25-1,"-")</f>
        <v>6.9693667514227009E-2</v>
      </c>
    </row>
    <row r="14" spans="3:6">
      <c r="C14" s="51" t="s">
        <v>45</v>
      </c>
      <c r="D14" s="68">
        <f>IFERROR('tab. Turistas alojados tip'!D13/'tab. Turistas alojados tip'!D26-1,"-")</f>
        <v>0.12873036074782762</v>
      </c>
      <c r="E14" s="68">
        <f>IFERROR('tab. Turistas alojados tip'!E13/'tab. Turistas alojados tip'!E26-1,"-")</f>
        <v>3.5676425804213263E-2</v>
      </c>
      <c r="F14" s="68">
        <f>IFERROR('tab. Turistas alojados tip'!F13/'tab. Turistas alojados tip'!F26-1,"-")</f>
        <v>9.4975074636257428E-2</v>
      </c>
    </row>
    <row r="15" spans="3:6">
      <c r="C15" s="51" t="s">
        <v>46</v>
      </c>
      <c r="D15" s="68">
        <f>IFERROR('tab. Turistas alojados tip'!D14/'tab. Turistas alojados tip'!D27-1,"-")</f>
        <v>6.4007235907013849E-2</v>
      </c>
      <c r="E15" s="68">
        <f>IFERROR('tab. Turistas alojados tip'!E14/'tab. Turistas alojados tip'!E27-1,"-")</f>
        <v>-3.8245895074089375E-3</v>
      </c>
      <c r="F15" s="68">
        <f>IFERROR('tab. Turistas alojados tip'!F14/'tab. Turistas alojados tip'!F27-1,"-")</f>
        <v>3.8927675074590384E-2</v>
      </c>
    </row>
    <row r="16" spans="3:6">
      <c r="C16" s="51" t="s">
        <v>47</v>
      </c>
      <c r="D16" s="68">
        <f>IFERROR('tab. Turistas alojados tip'!D15/'tab. Turistas alojados tip'!D28-1,"-")</f>
        <v>-2.1066828994640741E-2</v>
      </c>
      <c r="E16" s="68">
        <f>IFERROR('tab. Turistas alojados tip'!E15/'tab. Turistas alojados tip'!E28-1,"-")</f>
        <v>-0.13213093119513708</v>
      </c>
      <c r="F16" s="68">
        <f>IFERROR('tab. Turistas alojados tip'!F15/'tab. Turistas alojados tip'!F28-1,"-")</f>
        <v>-6.2582217172925114E-2</v>
      </c>
    </row>
    <row r="17" spans="3:6">
      <c r="C17" s="51" t="s">
        <v>48</v>
      </c>
      <c r="D17" s="68">
        <f>IFERROR('tab. Turistas alojados tip'!D16/'tab. Turistas alojados tip'!D29-1,"-")</f>
        <v>2.3701977367194482E-2</v>
      </c>
      <c r="E17" s="68">
        <f>IFERROR('tab. Turistas alojados tip'!E16/'tab. Turistas alojados tip'!E29-1,"-")</f>
        <v>-0.12767880682460175</v>
      </c>
      <c r="F17" s="68">
        <f>IFERROR('tab. Turistas alojados tip'!F16/'tab. Turistas alojados tip'!F29-1,"-")</f>
        <v>-3.5256410256410242E-2</v>
      </c>
    </row>
    <row r="18" spans="3:6" ht="30">
      <c r="C18" s="69" t="s">
        <v>54</v>
      </c>
      <c r="D18" s="70">
        <f>IFERROR(('tab. Turistas alojados tip'!D14+'tab. Turistas alojados tip'!D15+'tab. Turistas alojados tip'!D16+'tab. Turistas alojados tip'!D13+'tab. Turistas alojados tip'!D12+'tab. Turistas alojados tip'!D11+'tab. Turistas alojados tip'!D10)/('tab. Turistas alojados tip'!D27+'tab. Turistas alojados tip'!D28+'tab. Turistas alojados tip'!D29+'tab. Turistas alojados tip'!D26+'tab. Turistas alojados tip'!D25+'tab. Turistas alojados tip'!D24+'tab. Turistas alojados tip'!D23)-1,"-")</f>
        <v>6.3966184229217848E-2</v>
      </c>
      <c r="E18" s="70">
        <f>IFERROR(('tab. Turistas alojados tip'!E14+'tab. Turistas alojados tip'!E15+'tab. Turistas alojados tip'!E16+'tab. Turistas alojados tip'!E13+'tab. Turistas alojados tip'!E12+'tab. Turistas alojados tip'!E11+'tab. Turistas alojados tip'!E10)/('tab. Turistas alojados tip'!E27+'tab. Turistas alojados tip'!E28+'tab. Turistas alojados tip'!E29+'tab. Turistas alojados tip'!E26+'tab. Turistas alojados tip'!E25+'tab. Turistas alojados tip'!E24+'tab. Turistas alojados tip'!E23)-1,"-")</f>
        <v>-1.7271765949947171E-2</v>
      </c>
      <c r="F18" s="70">
        <f>IFERROR(('tab. Turistas alojados tip'!F14+'tab. Turistas alojados tip'!F15+'tab. Turistas alojados tip'!F16+'tab. Turistas alojados tip'!F13+'tab. Turistas alojados tip'!F12+'tab. Turistas alojados tip'!F11+'tab. Turistas alojados tip'!F10)/('tab. Turistas alojados tip'!F27+'tab. Turistas alojados tip'!F28+'tab. Turistas alojados tip'!F29+'tab. Turistas alojados tip'!F26+'tab. Turistas alojados tip'!F25+'tab. Turistas alojados tip'!F24+'tab. Turistas alojados tip'!F23)-1,"-")</f>
        <v>3.4725819854985795E-2</v>
      </c>
    </row>
    <row r="19" spans="3:6" hidden="1" outlineLevel="1">
      <c r="C19" s="51" t="s">
        <v>37</v>
      </c>
      <c r="D19" s="68">
        <f>IFERROR('tab. Turistas alojados tip'!D18/'tab. Turistas alojados tip'!D31-1,"-")</f>
        <v>-2.4616760493940348E-2</v>
      </c>
      <c r="E19" s="68">
        <f>IFERROR('tab. Turistas alojados tip'!E18/'tab. Turistas alojados tip'!E31-1,"-")</f>
        <v>-0.13937562940584092</v>
      </c>
      <c r="F19" s="68">
        <f>IFERROR('tab. Turistas alojados tip'!F18/'tab. Turistas alojados tip'!F31-1,"-")</f>
        <v>-6.8806757290315268E-2</v>
      </c>
    </row>
    <row r="20" spans="3:6" hidden="1" outlineLevel="1">
      <c r="C20" s="51" t="s">
        <v>38</v>
      </c>
      <c r="D20" s="68">
        <f>IFERROR('tab. Turistas alojados tip'!D19/'tab. Turistas alojados tip'!D32-1,"-")</f>
        <v>-8.5345371687758798E-2</v>
      </c>
      <c r="E20" s="68">
        <f>IFERROR('tab. Turistas alojados tip'!E19/'tab. Turistas alojados tip'!E32-1,"-")</f>
        <v>-0.18353622354485466</v>
      </c>
      <c r="F20" s="68">
        <f>IFERROR('tab. Turistas alojados tip'!F19/'tab. Turistas alojados tip'!F32-1,"-")</f>
        <v>-0.12197166849998664</v>
      </c>
    </row>
    <row r="21" spans="3:6" hidden="1" outlineLevel="1">
      <c r="C21" s="51" t="s">
        <v>39</v>
      </c>
      <c r="D21" s="68">
        <f>IFERROR('tab. Turistas alojados tip'!D20/'tab. Turistas alojados tip'!D33-1,"-")</f>
        <v>-7.3735443062917461E-2</v>
      </c>
      <c r="E21" s="68">
        <f>IFERROR('tab. Turistas alojados tip'!E20/'tab. Turistas alojados tip'!E33-1,"-")</f>
        <v>-0.12895071676987024</v>
      </c>
      <c r="F21" s="68">
        <f>IFERROR('tab. Turistas alojados tip'!F20/'tab. Turistas alojados tip'!F33-1,"-")</f>
        <v>-9.402092955130481E-2</v>
      </c>
    </row>
    <row r="22" spans="3:6" hidden="1" outlineLevel="1">
      <c r="C22" s="51" t="s">
        <v>40</v>
      </c>
      <c r="D22" s="68">
        <f>IFERROR('tab. Turistas alojados tip'!D21/'tab. Turistas alojados tip'!D34-1,"-")</f>
        <v>-9.8988570391872255E-2</v>
      </c>
      <c r="E22" s="68">
        <f>IFERROR('tab. Turistas alojados tip'!E21/'tab. Turistas alojados tip'!E34-1,"-")</f>
        <v>-8.355669265756982E-2</v>
      </c>
      <c r="F22" s="68">
        <f>IFERROR('tab. Turistas alojados tip'!F21/'tab. Turistas alojados tip'!F34-1,"-")</f>
        <v>-9.3458963911525084E-2</v>
      </c>
    </row>
    <row r="23" spans="3:6" hidden="1" outlineLevel="1">
      <c r="C23" s="51" t="s">
        <v>41</v>
      </c>
      <c r="D23" s="68">
        <f>IFERROR('tab. Turistas alojados tip'!D22/'tab. Turistas alojados tip'!D35-1,"-")</f>
        <v>-0.10547251582869399</v>
      </c>
      <c r="E23" s="68">
        <f>IFERROR('tab. Turistas alojados tip'!E22/'tab. Turistas alojados tip'!E35-1,"-")</f>
        <v>-7.677843505949844E-2</v>
      </c>
      <c r="F23" s="68">
        <f>IFERROR('tab. Turistas alojados tip'!F22/'tab. Turistas alojados tip'!F35-1,"-")</f>
        <v>-9.4352067575186993E-2</v>
      </c>
    </row>
    <row r="24" spans="3:6" hidden="1" outlineLevel="1">
      <c r="C24" s="51" t="s">
        <v>42</v>
      </c>
      <c r="D24" s="68">
        <f>IFERROR('tab. Turistas alojados tip'!D23/'tab. Turistas alojados tip'!D36-1,"-")</f>
        <v>-4.6662642626270512E-2</v>
      </c>
      <c r="E24" s="68">
        <f>IFERROR('tab. Turistas alojados tip'!E23/'tab. Turistas alojados tip'!E36-1,"-")</f>
        <v>-7.0836962276072835E-2</v>
      </c>
      <c r="F24" s="68">
        <f>IFERROR('tab. Turistas alojados tip'!F23/'tab. Turistas alojados tip'!F36-1,"-")</f>
        <v>-5.5440154272568876E-2</v>
      </c>
    </row>
    <row r="25" spans="3:6" hidden="1" outlineLevel="1">
      <c r="C25" s="51" t="s">
        <v>43</v>
      </c>
      <c r="D25" s="68">
        <f>IFERROR('tab. Turistas alojados tip'!D24/'tab. Turistas alojados tip'!D37-1,"-")</f>
        <v>-0.19139972250635506</v>
      </c>
      <c r="E25" s="68">
        <f>IFERROR('tab. Turistas alojados tip'!E24/'tab. Turistas alojados tip'!E37-1,"-")</f>
        <v>-0.12760908823652939</v>
      </c>
      <c r="F25" s="68">
        <f>IFERROR('tab. Turistas alojados tip'!F24/'tab. Turistas alojados tip'!F37-1,"-")</f>
        <v>-0.17064422019226166</v>
      </c>
    </row>
    <row r="26" spans="3:6" hidden="1" outlineLevel="1">
      <c r="C26" s="51" t="s">
        <v>44</v>
      </c>
      <c r="D26" s="68">
        <f>IFERROR('tab. Turistas alojados tip'!D25/'tab. Turistas alojados tip'!D38-1,"-")</f>
        <v>-0.18716386838097809</v>
      </c>
      <c r="E26" s="68">
        <f>IFERROR('tab. Turistas alojados tip'!E25/'tab. Turistas alojados tip'!E38-1,"-")</f>
        <v>-0.20504110470141301</v>
      </c>
      <c r="F26" s="68">
        <f>IFERROR('tab. Turistas alojados tip'!F25/'tab. Turistas alojados tip'!F38-1,"-")</f>
        <v>-0.19295788410800951</v>
      </c>
    </row>
    <row r="27" spans="3:6" hidden="1" outlineLevel="1">
      <c r="C27" s="51" t="s">
        <v>45</v>
      </c>
      <c r="D27" s="68">
        <f>IFERROR('tab. Turistas alojados tip'!D26/'tab. Turistas alojados tip'!D39-1,"-")</f>
        <v>-0.11129312194075547</v>
      </c>
      <c r="E27" s="68">
        <f>IFERROR('tab. Turistas alojados tip'!E26/'tab. Turistas alojados tip'!E39-1,"-")</f>
        <v>8.1416135551064528E-3</v>
      </c>
      <c r="F27" s="68">
        <f>IFERROR('tab. Turistas alojados tip'!F26/'tab. Turistas alojados tip'!F39-1,"-")</f>
        <v>-7.1385905909545411E-2</v>
      </c>
    </row>
    <row r="28" spans="3:6" hidden="1" outlineLevel="1">
      <c r="C28" s="51" t="s">
        <v>46</v>
      </c>
      <c r="D28" s="68">
        <f>IFERROR('tab. Turistas alojados tip'!D27/'tab. Turistas alojados tip'!D40-1,"-")</f>
        <v>-0.2765521695531723</v>
      </c>
      <c r="E28" s="68">
        <f>IFERROR('tab. Turistas alojados tip'!E27/'tab. Turistas alojados tip'!E40-1,"-")</f>
        <v>-0.24072187675794021</v>
      </c>
      <c r="F28" s="68">
        <f>IFERROR('tab. Turistas alojados tip'!F27/'tab. Turistas alojados tip'!F40-1,"-")</f>
        <v>-0.2637055934411574</v>
      </c>
    </row>
    <row r="29" spans="3:6" hidden="1" outlineLevel="1">
      <c r="C29" s="51" t="s">
        <v>47</v>
      </c>
      <c r="D29" s="68">
        <f>IFERROR('tab. Turistas alojados tip'!D28/'tab. Turistas alojados tip'!D41-1,"-")</f>
        <v>-0.19842902383253125</v>
      </c>
      <c r="E29" s="68">
        <f>IFERROR('tab. Turistas alojados tip'!E28/'tab. Turistas alojados tip'!E41-1,"-")</f>
        <v>-0.215304473349756</v>
      </c>
      <c r="F29" s="68">
        <f>IFERROR('tab. Turistas alojados tip'!F28/'tab. Turistas alojados tip'!F41-1,"-")</f>
        <v>-0.20482128210919204</v>
      </c>
    </row>
    <row r="30" spans="3:6" hidden="1" outlineLevel="1">
      <c r="C30" s="51" t="s">
        <v>48</v>
      </c>
      <c r="D30" s="68">
        <f>IFERROR('tab. Turistas alojados tip'!D29/'tab. Turistas alojados tip'!D42-1,"-")</f>
        <v>-0.10150465211665916</v>
      </c>
      <c r="E30" s="68">
        <f>IFERROR('tab. Turistas alojados tip'!E29/'tab. Turistas alojados tip'!E42-1,"-")</f>
        <v>-2.5383132972377709E-2</v>
      </c>
      <c r="F30" s="68">
        <f>IFERROR('tab. Turistas alojados tip'!F29/'tab. Turistas alojados tip'!F42-1,"-")</f>
        <v>-7.3315616695325936E-2</v>
      </c>
    </row>
    <row r="31" spans="3:6" collapsed="1">
      <c r="C31" s="56">
        <v>2009</v>
      </c>
      <c r="D31" s="71">
        <f>IFERROR('tab. Turistas alojados tip'!D30/'tab. Turistas alojados tip'!D43-1,"-")</f>
        <v>-0.12887218729694938</v>
      </c>
      <c r="E31" s="71">
        <f>IFERROR('tab. Turistas alojados tip'!E30/'tab. Turistas alojados tip'!E43-1,"-")</f>
        <v>-0.12608526876286319</v>
      </c>
      <c r="F31" s="71">
        <f>IFERROR('tab. Turistas alojados tip'!F30/'tab. Turistas alojados tip'!F43-1,"-")</f>
        <v>-0.12786598265284532</v>
      </c>
    </row>
    <row r="32" spans="3:6" hidden="1" outlineLevel="1">
      <c r="C32" s="51" t="s">
        <v>37</v>
      </c>
      <c r="D32" s="68">
        <f>IFERROR('tab. Turistas alojados tip'!D31/'tab. Turistas alojados tip'!D44-1,"-")</f>
        <v>-7.730311878464724E-2</v>
      </c>
      <c r="E32" s="68">
        <f>IFERROR('tab. Turistas alojados tip'!E31/'tab. Turistas alojados tip'!E44-1,"-")</f>
        <v>-8.2622117305247711E-3</v>
      </c>
      <c r="F32" s="68">
        <f>IFERROR('tab. Turistas alojados tip'!F31/'tab. Turistas alojados tip'!F44-1,"-")</f>
        <v>-5.1887107771702023E-2</v>
      </c>
    </row>
    <row r="33" spans="3:6" hidden="1" outlineLevel="1">
      <c r="C33" s="51" t="s">
        <v>38</v>
      </c>
      <c r="D33" s="68">
        <f>IFERROR('tab. Turistas alojados tip'!D32/'tab. Turistas alojados tip'!D45-1,"-")</f>
        <v>-9.2110758233540202E-2</v>
      </c>
      <c r="E33" s="68">
        <f>IFERROR('tab. Turistas alojados tip'!E32/'tab. Turistas alojados tip'!E45-1,"-")</f>
        <v>-0.11462595322624303</v>
      </c>
      <c r="F33" s="68">
        <f>IFERROR('tab. Turistas alojados tip'!F32/'tab. Turistas alojados tip'!F45-1,"-")</f>
        <v>-0.10064182993919502</v>
      </c>
    </row>
    <row r="34" spans="3:6" hidden="1" outlineLevel="1">
      <c r="C34" s="51" t="s">
        <v>39</v>
      </c>
      <c r="D34" s="68">
        <f>IFERROR('tab. Turistas alojados tip'!D33/'tab. Turistas alojados tip'!D46-1,"-")</f>
        <v>-8.5183282409034833E-2</v>
      </c>
      <c r="E34" s="68">
        <f>IFERROR('tab. Turistas alojados tip'!E33/'tab. Turistas alojados tip'!E46-1,"-")</f>
        <v>-1.591038098100106E-2</v>
      </c>
      <c r="F34" s="68">
        <f>IFERROR('tab. Turistas alojados tip'!F33/'tab. Turistas alojados tip'!F46-1,"-")</f>
        <v>-6.0896591687299217E-2</v>
      </c>
    </row>
    <row r="35" spans="3:6" hidden="1" outlineLevel="1">
      <c r="C35" s="51" t="s">
        <v>40</v>
      </c>
      <c r="D35" s="68">
        <f>IFERROR('tab. Turistas alojados tip'!D34/'tab. Turistas alojados tip'!D47-1,"-")</f>
        <v>-6.8633766672651086E-2</v>
      </c>
      <c r="E35" s="68">
        <f>IFERROR('tab. Turistas alojados tip'!E34/'tab. Turistas alojados tip'!E47-1,"-")</f>
        <v>3.2842582106455298E-2</v>
      </c>
      <c r="F35" s="68">
        <f>IFERROR('tab. Turistas alojados tip'!F34/'tab. Turistas alojados tip'!F47-1,"-")</f>
        <v>-3.4648423507266157E-2</v>
      </c>
    </row>
    <row r="36" spans="3:6" hidden="1" outlineLevel="1">
      <c r="C36" s="51" t="s">
        <v>41</v>
      </c>
      <c r="D36" s="68">
        <f>IFERROR('tab. Turistas alojados tip'!D35/'tab. Turistas alojados tip'!D48-1,"-")</f>
        <v>1.2531438521202309E-2</v>
      </c>
      <c r="E36" s="68">
        <f>IFERROR('tab. Turistas alojados tip'!E35/'tab. Turistas alojados tip'!E48-1,"-")</f>
        <v>1.294349905461023E-2</v>
      </c>
      <c r="F36" s="68">
        <f>IFERROR('tab. Turistas alojados tip'!F35/'tab. Turistas alojados tip'!F48-1,"-")</f>
        <v>1.26910936102822E-2</v>
      </c>
    </row>
    <row r="37" spans="3:6" ht="25.5" hidden="1" customHeight="1" outlineLevel="1">
      <c r="C37" s="51" t="s">
        <v>42</v>
      </c>
      <c r="D37" s="68">
        <f>IFERROR('tab. Turistas alojados tip'!D36/'tab. Turistas alojados tip'!D49-1,"-")</f>
        <v>-2.3890525515537386E-2</v>
      </c>
      <c r="E37" s="68">
        <f>IFERROR('tab. Turistas alojados tip'!E36/'tab. Turistas alojados tip'!E49-1,"-")</f>
        <v>6.2952676577901157E-2</v>
      </c>
      <c r="F37" s="68">
        <f>IFERROR('tab. Turistas alojados tip'!F36/'tab. Turistas alojados tip'!F49-1,"-")</f>
        <v>5.9506359196352943E-3</v>
      </c>
    </row>
    <row r="38" spans="3:6" hidden="1" outlineLevel="1">
      <c r="C38" s="51" t="s">
        <v>43</v>
      </c>
      <c r="D38" s="68">
        <f>IFERROR('tab. Turistas alojados tip'!D37/'tab. Turistas alojados tip'!D50-1,"-")</f>
        <v>2.8005955169649432E-2</v>
      </c>
      <c r="E38" s="68">
        <f>IFERROR('tab. Turistas alojados tip'!E37/'tab. Turistas alojados tip'!E50-1,"-")</f>
        <v>-1.7191208337632879E-2</v>
      </c>
      <c r="F38" s="68">
        <f>IFERROR('tab. Turistas alojados tip'!F37/'tab. Turistas alojados tip'!F50-1,"-")</f>
        <v>1.2850677480519934E-2</v>
      </c>
    </row>
    <row r="39" spans="3:6" hidden="1" outlineLevel="1">
      <c r="C39" s="51" t="s">
        <v>44</v>
      </c>
      <c r="D39" s="68">
        <f>IFERROR('tab. Turistas alojados tip'!D38/'tab. Turistas alojados tip'!D51-1,"-")</f>
        <v>0.29880827199439186</v>
      </c>
      <c r="E39" s="68">
        <f>IFERROR('tab. Turistas alojados tip'!E38/'tab. Turistas alojados tip'!E51-1,"-")</f>
        <v>0.37266857962697264</v>
      </c>
      <c r="F39" s="68">
        <f>IFERROR('tab. Turistas alojados tip'!F38/'tab. Turistas alojados tip'!F51-1,"-")</f>
        <v>0.32186036098098647</v>
      </c>
    </row>
    <row r="40" spans="3:6" hidden="1" outlineLevel="1">
      <c r="C40" s="51" t="s">
        <v>45</v>
      </c>
      <c r="D40" s="68">
        <f>IFERROR('tab. Turistas alojados tip'!D39/'tab. Turistas alojados tip'!D52-1,"-")</f>
        <v>-3.3702360201629977E-2</v>
      </c>
      <c r="E40" s="68">
        <f>IFERROR('tab. Turistas alojados tip'!E39/'tab. Turistas alojados tip'!E52-1,"-")</f>
        <v>-6.1834621554615721E-2</v>
      </c>
      <c r="F40" s="68">
        <f>IFERROR('tab. Turistas alojados tip'!F39/'tab. Turistas alojados tip'!F52-1,"-")</f>
        <v>-4.3288134119298549E-2</v>
      </c>
    </row>
    <row r="41" spans="3:6" hidden="1" outlineLevel="1">
      <c r="C41" s="51" t="s">
        <v>46</v>
      </c>
      <c r="D41" s="68">
        <f>IFERROR('tab. Turistas alojados tip'!D40/'tab. Turistas alojados tip'!D53-1,"-")</f>
        <v>0.10823970390182791</v>
      </c>
      <c r="E41" s="68">
        <f>IFERROR('tab. Turistas alojados tip'!E40/'tab. Turistas alojados tip'!E53-1,"-")</f>
        <v>-3.5162094763092289E-2</v>
      </c>
      <c r="F41" s="68">
        <f>IFERROR('tab. Turistas alojados tip'!F40/'tab. Turistas alojados tip'!F53-1,"-")</f>
        <v>5.2170621332828571E-2</v>
      </c>
    </row>
    <row r="42" spans="3:6" hidden="1" outlineLevel="1">
      <c r="C42" s="51" t="s">
        <v>47</v>
      </c>
      <c r="D42" s="68">
        <f>IFERROR('tab. Turistas alojados tip'!D41/'tab. Turistas alojados tip'!D54-1,"-")</f>
        <v>0.11172447536083907</v>
      </c>
      <c r="E42" s="68">
        <f>IFERROR('tab. Turistas alojados tip'!E41/'tab. Turistas alojados tip'!E54-1,"-")</f>
        <v>0.1104470850611563</v>
      </c>
      <c r="F42" s="68">
        <f>IFERROR('tab. Turistas alojados tip'!F41/'tab. Turistas alojados tip'!F54-1,"-")</f>
        <v>0.11124026655923291</v>
      </c>
    </row>
    <row r="43" spans="3:6" hidden="1" outlineLevel="1">
      <c r="C43" s="51" t="s">
        <v>48</v>
      </c>
      <c r="D43" s="68">
        <f>IFERROR('tab. Turistas alojados tip'!D42/'tab. Turistas alojados tip'!D55-1,"-")</f>
        <v>1.5510078810930583E-2</v>
      </c>
      <c r="E43" s="68">
        <f>IFERROR('tab. Turistas alojados tip'!E42/'tab. Turistas alojados tip'!E55-1,"-")</f>
        <v>-9.5977314452947438E-3</v>
      </c>
      <c r="F43" s="68">
        <f>IFERROR('tab. Turistas alojados tip'!F42/'tab. Turistas alojados tip'!F55-1,"-")</f>
        <v>6.0652060939252461E-3</v>
      </c>
    </row>
    <row r="44" spans="3:6" collapsed="1">
      <c r="C44" s="58">
        <v>2008</v>
      </c>
      <c r="D44" s="72">
        <f>IFERROR('tab. Turistas alojados tip'!D43/'tab. Turistas alojados tip'!D56-1,"-")</f>
        <v>1.0509631389211904E-2</v>
      </c>
      <c r="E44" s="72">
        <f>IFERROR('tab. Turistas alojados tip'!E43/'tab. Turistas alojados tip'!E56-1,"-")</f>
        <v>1.4946209701878654E-2</v>
      </c>
      <c r="F44" s="72">
        <f>IFERROR('tab. Turistas alojados tip'!F43/'tab. Turistas alojados tip'!F56-1,"-")</f>
        <v>1.2106957459176781E-2</v>
      </c>
    </row>
    <row r="45" spans="3:6" hidden="1" outlineLevel="1">
      <c r="C45" s="51" t="s">
        <v>37</v>
      </c>
      <c r="D45" s="68">
        <f>IFERROR('tab. Turistas alojados tip'!D44/'tab. Turistas alojados tip'!D57-1,"-")</f>
        <v>-4.8365012886597891E-2</v>
      </c>
      <c r="E45" s="68">
        <f>IFERROR('tab. Turistas alojados tip'!E44/'tab. Turistas alojados tip'!E57-1,"-")</f>
        <v>-9.0067910312123023E-2</v>
      </c>
      <c r="F45" s="68">
        <f>IFERROR('tab. Turistas alojados tip'!F44/'tab. Turistas alojados tip'!F57-1,"-")</f>
        <v>-6.4154295616488111E-2</v>
      </c>
    </row>
    <row r="46" spans="3:6" hidden="1" outlineLevel="1">
      <c r="C46" s="51" t="s">
        <v>38</v>
      </c>
      <c r="D46" s="68">
        <f>IFERROR('tab. Turistas alojados tip'!D45/'tab. Turistas alojados tip'!D58-1,"-")</f>
        <v>2.2746913273668179E-2</v>
      </c>
      <c r="E46" s="68">
        <f>IFERROR('tab. Turistas alojados tip'!E45/'tab. Turistas alojados tip'!E58-1,"-")</f>
        <v>0.21723543204852436</v>
      </c>
      <c r="F46" s="68">
        <f>IFERROR('tab. Turistas alojados tip'!F45/'tab. Turistas alojados tip'!F58-1,"-")</f>
        <v>8.8654811001076972E-2</v>
      </c>
    </row>
    <row r="47" spans="3:6" hidden="1" outlineLevel="1">
      <c r="C47" s="51" t="s">
        <v>39</v>
      </c>
      <c r="D47" s="68">
        <f>IFERROR('tab. Turistas alojados tip'!D46/'tab. Turistas alojados tip'!D59-1,"-")</f>
        <v>-1.8106995884773713E-2</v>
      </c>
      <c r="E47" s="68">
        <f>IFERROR('tab. Turistas alojados tip'!E46/'tab. Turistas alojados tip'!E59-1,"-")</f>
        <v>-6.2130084865186452E-2</v>
      </c>
      <c r="F47" s="68">
        <f>IFERROR('tab. Turistas alojados tip'!F46/'tab. Turistas alojados tip'!F59-1,"-")</f>
        <v>-3.4004104918551881E-2</v>
      </c>
    </row>
    <row r="48" spans="3:6" hidden="1" outlineLevel="1">
      <c r="C48" s="51" t="s">
        <v>40</v>
      </c>
      <c r="D48" s="68">
        <f>IFERROR('tab. Turistas alojados tip'!D47/'tab. Turistas alojados tip'!D60-1,"-")</f>
        <v>-8.3667998877459238E-2</v>
      </c>
      <c r="E48" s="68">
        <f>IFERROR('tab. Turistas alojados tip'!E47/'tab. Turistas alojados tip'!E60-1,"-")</f>
        <v>-0.20929306999651753</v>
      </c>
      <c r="F48" s="68">
        <f>IFERROR('tab. Turistas alojados tip'!F47/'tab. Turistas alojados tip'!F60-1,"-")</f>
        <v>-0.12996211195306773</v>
      </c>
    </row>
    <row r="49" spans="3:6" hidden="1" outlineLevel="1">
      <c r="C49" s="51" t="s">
        <v>41</v>
      </c>
      <c r="D49" s="68">
        <f>IFERROR('tab. Turistas alojados tip'!D48/'tab. Turistas alojados tip'!D61-1,"-")</f>
        <v>6.5679991502318735E-3</v>
      </c>
      <c r="E49" s="68">
        <f>IFERROR('tab. Turistas alojados tip'!E48/'tab. Turistas alojados tip'!E61-1,"-")</f>
        <v>3.8476531481454801E-2</v>
      </c>
      <c r="F49" s="68">
        <f>IFERROR('tab. Turistas alojados tip'!F48/'tab. Turistas alojados tip'!F61-1,"-")</f>
        <v>1.8695640244738909E-2</v>
      </c>
    </row>
    <row r="50" spans="3:6" hidden="1" outlineLevel="1">
      <c r="C50" s="51" t="s">
        <v>42</v>
      </c>
      <c r="D50" s="68">
        <f>IFERROR('tab. Turistas alojados tip'!D49/'tab. Turistas alojados tip'!D62-1,"-")</f>
        <v>9.816998858042103E-3</v>
      </c>
      <c r="E50" s="68">
        <f>IFERROR('tab. Turistas alojados tip'!E49/'tab. Turistas alojados tip'!E62-1,"-")</f>
        <v>-0.13636007336918177</v>
      </c>
      <c r="F50" s="68">
        <f>IFERROR('tab. Turistas alojados tip'!F49/'tab. Turistas alojados tip'!F62-1,"-")</f>
        <v>-4.5686155457932975E-2</v>
      </c>
    </row>
    <row r="51" spans="3:6" hidden="1" outlineLevel="1">
      <c r="C51" s="51" t="s">
        <v>43</v>
      </c>
      <c r="D51" s="68">
        <f>IFERROR('tab. Turistas alojados tip'!D50/'tab. Turistas alojados tip'!D63-1,"-")</f>
        <v>6.159454448320334E-3</v>
      </c>
      <c r="E51" s="68">
        <f>IFERROR('tab. Turistas alojados tip'!E50/'tab. Turistas alojados tip'!E63-1,"-")</f>
        <v>-0.12817790892243475</v>
      </c>
      <c r="F51" s="68">
        <f>IFERROR('tab. Turistas alojados tip'!F50/'tab. Turistas alojados tip'!F63-1,"-")</f>
        <v>-4.3272732087763721E-2</v>
      </c>
    </row>
    <row r="52" spans="3:6" hidden="1" outlineLevel="1">
      <c r="C52" s="51" t="s">
        <v>44</v>
      </c>
      <c r="D52" s="68">
        <f>IFERROR('tab. Turistas alojados tip'!D51/'tab. Turistas alojados tip'!D64-1,"-")</f>
        <v>-0.10437921833307173</v>
      </c>
      <c r="E52" s="68">
        <f>IFERROR('tab. Turistas alojados tip'!E51/'tab. Turistas alojados tip'!E64-1,"-")</f>
        <v>-0.15953993136072719</v>
      </c>
      <c r="F52" s="68">
        <f>IFERROR('tab. Turistas alojados tip'!F51/'tab. Turistas alojados tip'!F64-1,"-")</f>
        <v>-0.12235674662555363</v>
      </c>
    </row>
    <row r="53" spans="3:6" hidden="1" outlineLevel="1">
      <c r="C53" s="51" t="s">
        <v>45</v>
      </c>
      <c r="D53" s="68">
        <f>IFERROR('tab. Turistas alojados tip'!D52/'tab. Turistas alojados tip'!D65-1,"-")</f>
        <v>-6.2386812371352574E-2</v>
      </c>
      <c r="E53" s="68">
        <f>IFERROR('tab. Turistas alojados tip'!E52/'tab. Turistas alojados tip'!E65-1,"-")</f>
        <v>-9.8430437998192177E-2</v>
      </c>
      <c r="F53" s="68">
        <f>IFERROR('tab. Turistas alojados tip'!F52/'tab. Turistas alojados tip'!F65-1,"-")</f>
        <v>-7.4987646660001572E-2</v>
      </c>
    </row>
    <row r="54" spans="3:6" hidden="1" outlineLevel="1">
      <c r="C54" s="51" t="s">
        <v>46</v>
      </c>
      <c r="D54" s="68">
        <f>IFERROR('tab. Turistas alojados tip'!D53/'tab. Turistas alojados tip'!D66-1,"-")</f>
        <v>2.9424311170573647E-2</v>
      </c>
      <c r="E54" s="68">
        <f>IFERROR('tab. Turistas alojados tip'!E53/'tab. Turistas alojados tip'!E66-1,"-")</f>
        <v>5.521415414144859E-2</v>
      </c>
      <c r="F54" s="68">
        <f>IFERROR('tab. Turistas alojados tip'!F53/'tab. Turistas alojados tip'!F66-1,"-")</f>
        <v>3.9356419412336363E-2</v>
      </c>
    </row>
    <row r="55" spans="3:6" hidden="1" outlineLevel="1">
      <c r="C55" s="51" t="s">
        <v>47</v>
      </c>
      <c r="D55" s="68">
        <f>IFERROR('tab. Turistas alojados tip'!D54/'tab. Turistas alojados tip'!D67-1,"-")</f>
        <v>1.8547207626889106E-2</v>
      </c>
      <c r="E55" s="68">
        <f>IFERROR('tab. Turistas alojados tip'!E54/'tab. Turistas alojados tip'!E67-1,"-")</f>
        <v>-1.7898699520876082E-2</v>
      </c>
      <c r="F55" s="68">
        <f>IFERROR('tab. Turistas alojados tip'!F54/'tab. Turistas alojados tip'!F67-1,"-")</f>
        <v>4.4180569836478334E-3</v>
      </c>
    </row>
    <row r="56" spans="3:6" hidden="1" outlineLevel="1">
      <c r="C56" s="51" t="s">
        <v>48</v>
      </c>
      <c r="D56" s="68">
        <f>IFERROR('tab. Turistas alojados tip'!D55/'tab. Turistas alojados tip'!D68-1,"-")</f>
        <v>-4.6438948930743962E-2</v>
      </c>
      <c r="E56" s="68">
        <f>IFERROR('tab. Turistas alojados tip'!E55/'tab. Turistas alojados tip'!E68-1,"-")</f>
        <v>-3.4758044706460378E-2</v>
      </c>
      <c r="F56" s="68">
        <f>IFERROR('tab. Turistas alojados tip'!F55/'tab. Turistas alojados tip'!F68-1,"-")</f>
        <v>-4.2078235124584085E-2</v>
      </c>
    </row>
    <row r="57" spans="3:6" collapsed="1">
      <c r="C57" s="58">
        <v>2007</v>
      </c>
      <c r="D57" s="72">
        <f>IFERROR('tab. Turistas alojados tip'!D56/'tab. Turistas alojados tip'!D69-1,"-")</f>
        <v>-2.2021430014617649E-2</v>
      </c>
      <c r="E57" s="72">
        <f>IFERROR('tab. Turistas alojados tip'!E56/'tab. Turistas alojados tip'!E69-1,"-")</f>
        <v>-5.1226640787216726E-2</v>
      </c>
      <c r="F57" s="72">
        <f>IFERROR('tab. Turistas alojados tip'!F56/'tab. Turistas alojados tip'!F69-1,"-")</f>
        <v>-3.2741212548908383E-2</v>
      </c>
    </row>
    <row r="58" spans="3:6" ht="27" customHeight="1">
      <c r="C58" s="61" t="s">
        <v>50</v>
      </c>
      <c r="D58" s="62"/>
      <c r="E58" s="62"/>
      <c r="F58" s="63"/>
    </row>
  </sheetData>
  <mergeCells count="6">
    <mergeCell ref="C3:F3"/>
    <mergeCell ref="C4:C5"/>
    <mergeCell ref="D4:D5"/>
    <mergeCell ref="E4:E5"/>
    <mergeCell ref="F4:F5"/>
    <mergeCell ref="C58:F5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3:L73"/>
  <sheetViews>
    <sheetView showGridLines="0" showRowColHeaders="0" zoomScaleNormal="100" workbookViewId="0">
      <selection activeCell="B25" sqref="B25"/>
    </sheetView>
  </sheetViews>
  <sheetFormatPr baseColWidth="10" defaultRowHeight="12.75" outlineLevelRow="1"/>
  <cols>
    <col min="1" max="1" width="13.7109375" style="339" customWidth="1"/>
    <col min="2" max="2" width="12.140625" style="339" customWidth="1"/>
    <col min="3" max="18" width="11" style="339" customWidth="1"/>
    <col min="19" max="21" width="10.42578125" style="339" customWidth="1"/>
    <col min="22" max="25" width="9.28515625" style="339" customWidth="1"/>
    <col min="26" max="37" width="7.28515625" style="339" customWidth="1"/>
    <col min="38" max="38" width="11.5703125" style="339" bestFit="1" customWidth="1"/>
    <col min="39" max="258" width="11.42578125" style="339"/>
    <col min="259" max="259" width="13.7109375" style="339" customWidth="1"/>
    <col min="260" max="260" width="12.140625" style="339" customWidth="1"/>
    <col min="261" max="274" width="11" style="339" customWidth="1"/>
    <col min="275" max="277" width="10.42578125" style="339" customWidth="1"/>
    <col min="278" max="279" width="7.28515625" style="339" customWidth="1"/>
    <col min="280" max="280" width="7.85546875" style="339" bestFit="1" customWidth="1"/>
    <col min="281" max="293" width="7.28515625" style="339" customWidth="1"/>
    <col min="294" max="294" width="11.5703125" style="339" bestFit="1" customWidth="1"/>
    <col min="295" max="514" width="11.42578125" style="339"/>
    <col min="515" max="515" width="13.7109375" style="339" customWidth="1"/>
    <col min="516" max="516" width="12.140625" style="339" customWidth="1"/>
    <col min="517" max="530" width="11" style="339" customWidth="1"/>
    <col min="531" max="533" width="10.42578125" style="339" customWidth="1"/>
    <col min="534" max="535" width="7.28515625" style="339" customWidth="1"/>
    <col min="536" max="536" width="7.85546875" style="339" bestFit="1" customWidth="1"/>
    <col min="537" max="549" width="7.28515625" style="339" customWidth="1"/>
    <col min="550" max="550" width="11.5703125" style="339" bestFit="1" customWidth="1"/>
    <col min="551" max="770" width="11.42578125" style="339"/>
    <col min="771" max="771" width="13.7109375" style="339" customWidth="1"/>
    <col min="772" max="772" width="12.140625" style="339" customWidth="1"/>
    <col min="773" max="786" width="11" style="339" customWidth="1"/>
    <col min="787" max="789" width="10.42578125" style="339" customWidth="1"/>
    <col min="790" max="791" width="7.28515625" style="339" customWidth="1"/>
    <col min="792" max="792" width="7.85546875" style="339" bestFit="1" customWidth="1"/>
    <col min="793" max="805" width="7.28515625" style="339" customWidth="1"/>
    <col min="806" max="806" width="11.5703125" style="339" bestFit="1" customWidth="1"/>
    <col min="807" max="1026" width="11.42578125" style="339"/>
    <col min="1027" max="1027" width="13.7109375" style="339" customWidth="1"/>
    <col min="1028" max="1028" width="12.140625" style="339" customWidth="1"/>
    <col min="1029" max="1042" width="11" style="339" customWidth="1"/>
    <col min="1043" max="1045" width="10.42578125" style="339" customWidth="1"/>
    <col min="1046" max="1047" width="7.28515625" style="339" customWidth="1"/>
    <col min="1048" max="1048" width="7.85546875" style="339" bestFit="1" customWidth="1"/>
    <col min="1049" max="1061" width="7.28515625" style="339" customWidth="1"/>
    <col min="1062" max="1062" width="11.5703125" style="339" bestFit="1" customWidth="1"/>
    <col min="1063" max="1282" width="11.42578125" style="339"/>
    <col min="1283" max="1283" width="13.7109375" style="339" customWidth="1"/>
    <col min="1284" max="1284" width="12.140625" style="339" customWidth="1"/>
    <col min="1285" max="1298" width="11" style="339" customWidth="1"/>
    <col min="1299" max="1301" width="10.42578125" style="339" customWidth="1"/>
    <col min="1302" max="1303" width="7.28515625" style="339" customWidth="1"/>
    <col min="1304" max="1304" width="7.85546875" style="339" bestFit="1" customWidth="1"/>
    <col min="1305" max="1317" width="7.28515625" style="339" customWidth="1"/>
    <col min="1318" max="1318" width="11.5703125" style="339" bestFit="1" customWidth="1"/>
    <col min="1319" max="1538" width="11.42578125" style="339"/>
    <col min="1539" max="1539" width="13.7109375" style="339" customWidth="1"/>
    <col min="1540" max="1540" width="12.140625" style="339" customWidth="1"/>
    <col min="1541" max="1554" width="11" style="339" customWidth="1"/>
    <col min="1555" max="1557" width="10.42578125" style="339" customWidth="1"/>
    <col min="1558" max="1559" width="7.28515625" style="339" customWidth="1"/>
    <col min="1560" max="1560" width="7.85546875" style="339" bestFit="1" customWidth="1"/>
    <col min="1561" max="1573" width="7.28515625" style="339" customWidth="1"/>
    <col min="1574" max="1574" width="11.5703125" style="339" bestFit="1" customWidth="1"/>
    <col min="1575" max="1794" width="11.42578125" style="339"/>
    <col min="1795" max="1795" width="13.7109375" style="339" customWidth="1"/>
    <col min="1796" max="1796" width="12.140625" style="339" customWidth="1"/>
    <col min="1797" max="1810" width="11" style="339" customWidth="1"/>
    <col min="1811" max="1813" width="10.42578125" style="339" customWidth="1"/>
    <col min="1814" max="1815" width="7.28515625" style="339" customWidth="1"/>
    <col min="1816" max="1816" width="7.85546875" style="339" bestFit="1" customWidth="1"/>
    <col min="1817" max="1829" width="7.28515625" style="339" customWidth="1"/>
    <col min="1830" max="1830" width="11.5703125" style="339" bestFit="1" customWidth="1"/>
    <col min="1831" max="2050" width="11.42578125" style="339"/>
    <col min="2051" max="2051" width="13.7109375" style="339" customWidth="1"/>
    <col min="2052" max="2052" width="12.140625" style="339" customWidth="1"/>
    <col min="2053" max="2066" width="11" style="339" customWidth="1"/>
    <col min="2067" max="2069" width="10.42578125" style="339" customWidth="1"/>
    <col min="2070" max="2071" width="7.28515625" style="339" customWidth="1"/>
    <col min="2072" max="2072" width="7.85546875" style="339" bestFit="1" customWidth="1"/>
    <col min="2073" max="2085" width="7.28515625" style="339" customWidth="1"/>
    <col min="2086" max="2086" width="11.5703125" style="339" bestFit="1" customWidth="1"/>
    <col min="2087" max="2306" width="11.42578125" style="339"/>
    <col min="2307" max="2307" width="13.7109375" style="339" customWidth="1"/>
    <col min="2308" max="2308" width="12.140625" style="339" customWidth="1"/>
    <col min="2309" max="2322" width="11" style="339" customWidth="1"/>
    <col min="2323" max="2325" width="10.42578125" style="339" customWidth="1"/>
    <col min="2326" max="2327" width="7.28515625" style="339" customWidth="1"/>
    <col min="2328" max="2328" width="7.85546875" style="339" bestFit="1" customWidth="1"/>
    <col min="2329" max="2341" width="7.28515625" style="339" customWidth="1"/>
    <col min="2342" max="2342" width="11.5703125" style="339" bestFit="1" customWidth="1"/>
    <col min="2343" max="2562" width="11.42578125" style="339"/>
    <col min="2563" max="2563" width="13.7109375" style="339" customWidth="1"/>
    <col min="2564" max="2564" width="12.140625" style="339" customWidth="1"/>
    <col min="2565" max="2578" width="11" style="339" customWidth="1"/>
    <col min="2579" max="2581" width="10.42578125" style="339" customWidth="1"/>
    <col min="2582" max="2583" width="7.28515625" style="339" customWidth="1"/>
    <col min="2584" max="2584" width="7.85546875" style="339" bestFit="1" customWidth="1"/>
    <col min="2585" max="2597" width="7.28515625" style="339" customWidth="1"/>
    <col min="2598" max="2598" width="11.5703125" style="339" bestFit="1" customWidth="1"/>
    <col min="2599" max="2818" width="11.42578125" style="339"/>
    <col min="2819" max="2819" width="13.7109375" style="339" customWidth="1"/>
    <col min="2820" max="2820" width="12.140625" style="339" customWidth="1"/>
    <col min="2821" max="2834" width="11" style="339" customWidth="1"/>
    <col min="2835" max="2837" width="10.42578125" style="339" customWidth="1"/>
    <col min="2838" max="2839" width="7.28515625" style="339" customWidth="1"/>
    <col min="2840" max="2840" width="7.85546875" style="339" bestFit="1" customWidth="1"/>
    <col min="2841" max="2853" width="7.28515625" style="339" customWidth="1"/>
    <col min="2854" max="2854" width="11.5703125" style="339" bestFit="1" customWidth="1"/>
    <col min="2855" max="3074" width="11.42578125" style="339"/>
    <col min="3075" max="3075" width="13.7109375" style="339" customWidth="1"/>
    <col min="3076" max="3076" width="12.140625" style="339" customWidth="1"/>
    <col min="3077" max="3090" width="11" style="339" customWidth="1"/>
    <col min="3091" max="3093" width="10.42578125" style="339" customWidth="1"/>
    <col min="3094" max="3095" width="7.28515625" style="339" customWidth="1"/>
    <col min="3096" max="3096" width="7.85546875" style="339" bestFit="1" customWidth="1"/>
    <col min="3097" max="3109" width="7.28515625" style="339" customWidth="1"/>
    <col min="3110" max="3110" width="11.5703125" style="339" bestFit="1" customWidth="1"/>
    <col min="3111" max="3330" width="11.42578125" style="339"/>
    <col min="3331" max="3331" width="13.7109375" style="339" customWidth="1"/>
    <col min="3332" max="3332" width="12.140625" style="339" customWidth="1"/>
    <col min="3333" max="3346" width="11" style="339" customWidth="1"/>
    <col min="3347" max="3349" width="10.42578125" style="339" customWidth="1"/>
    <col min="3350" max="3351" width="7.28515625" style="339" customWidth="1"/>
    <col min="3352" max="3352" width="7.85546875" style="339" bestFit="1" customWidth="1"/>
    <col min="3353" max="3365" width="7.28515625" style="339" customWidth="1"/>
    <col min="3366" max="3366" width="11.5703125" style="339" bestFit="1" customWidth="1"/>
    <col min="3367" max="3586" width="11.42578125" style="339"/>
    <col min="3587" max="3587" width="13.7109375" style="339" customWidth="1"/>
    <col min="3588" max="3588" width="12.140625" style="339" customWidth="1"/>
    <col min="3589" max="3602" width="11" style="339" customWidth="1"/>
    <col min="3603" max="3605" width="10.42578125" style="339" customWidth="1"/>
    <col min="3606" max="3607" width="7.28515625" style="339" customWidth="1"/>
    <col min="3608" max="3608" width="7.85546875" style="339" bestFit="1" customWidth="1"/>
    <col min="3609" max="3621" width="7.28515625" style="339" customWidth="1"/>
    <col min="3622" max="3622" width="11.5703125" style="339" bestFit="1" customWidth="1"/>
    <col min="3623" max="3842" width="11.42578125" style="339"/>
    <col min="3843" max="3843" width="13.7109375" style="339" customWidth="1"/>
    <col min="3844" max="3844" width="12.140625" style="339" customWidth="1"/>
    <col min="3845" max="3858" width="11" style="339" customWidth="1"/>
    <col min="3859" max="3861" width="10.42578125" style="339" customWidth="1"/>
    <col min="3862" max="3863" width="7.28515625" style="339" customWidth="1"/>
    <col min="3864" max="3864" width="7.85546875" style="339" bestFit="1" customWidth="1"/>
    <col min="3865" max="3877" width="7.28515625" style="339" customWidth="1"/>
    <col min="3878" max="3878" width="11.5703125" style="339" bestFit="1" customWidth="1"/>
    <col min="3879" max="4098" width="11.42578125" style="339"/>
    <col min="4099" max="4099" width="13.7109375" style="339" customWidth="1"/>
    <col min="4100" max="4100" width="12.140625" style="339" customWidth="1"/>
    <col min="4101" max="4114" width="11" style="339" customWidth="1"/>
    <col min="4115" max="4117" width="10.42578125" style="339" customWidth="1"/>
    <col min="4118" max="4119" width="7.28515625" style="339" customWidth="1"/>
    <col min="4120" max="4120" width="7.85546875" style="339" bestFit="1" customWidth="1"/>
    <col min="4121" max="4133" width="7.28515625" style="339" customWidth="1"/>
    <col min="4134" max="4134" width="11.5703125" style="339" bestFit="1" customWidth="1"/>
    <col min="4135" max="4354" width="11.42578125" style="339"/>
    <col min="4355" max="4355" width="13.7109375" style="339" customWidth="1"/>
    <col min="4356" max="4356" width="12.140625" style="339" customWidth="1"/>
    <col min="4357" max="4370" width="11" style="339" customWidth="1"/>
    <col min="4371" max="4373" width="10.42578125" style="339" customWidth="1"/>
    <col min="4374" max="4375" width="7.28515625" style="339" customWidth="1"/>
    <col min="4376" max="4376" width="7.85546875" style="339" bestFit="1" customWidth="1"/>
    <col min="4377" max="4389" width="7.28515625" style="339" customWidth="1"/>
    <col min="4390" max="4390" width="11.5703125" style="339" bestFit="1" customWidth="1"/>
    <col min="4391" max="4610" width="11.42578125" style="339"/>
    <col min="4611" max="4611" width="13.7109375" style="339" customWidth="1"/>
    <col min="4612" max="4612" width="12.140625" style="339" customWidth="1"/>
    <col min="4613" max="4626" width="11" style="339" customWidth="1"/>
    <col min="4627" max="4629" width="10.42578125" style="339" customWidth="1"/>
    <col min="4630" max="4631" width="7.28515625" style="339" customWidth="1"/>
    <col min="4632" max="4632" width="7.85546875" style="339" bestFit="1" customWidth="1"/>
    <col min="4633" max="4645" width="7.28515625" style="339" customWidth="1"/>
    <col min="4646" max="4646" width="11.5703125" style="339" bestFit="1" customWidth="1"/>
    <col min="4647" max="4866" width="11.42578125" style="339"/>
    <col min="4867" max="4867" width="13.7109375" style="339" customWidth="1"/>
    <col min="4868" max="4868" width="12.140625" style="339" customWidth="1"/>
    <col min="4869" max="4882" width="11" style="339" customWidth="1"/>
    <col min="4883" max="4885" width="10.42578125" style="339" customWidth="1"/>
    <col min="4886" max="4887" width="7.28515625" style="339" customWidth="1"/>
    <col min="4888" max="4888" width="7.85546875" style="339" bestFit="1" customWidth="1"/>
    <col min="4889" max="4901" width="7.28515625" style="339" customWidth="1"/>
    <col min="4902" max="4902" width="11.5703125" style="339" bestFit="1" customWidth="1"/>
    <col min="4903" max="5122" width="11.42578125" style="339"/>
    <col min="5123" max="5123" width="13.7109375" style="339" customWidth="1"/>
    <col min="5124" max="5124" width="12.140625" style="339" customWidth="1"/>
    <col min="5125" max="5138" width="11" style="339" customWidth="1"/>
    <col min="5139" max="5141" width="10.42578125" style="339" customWidth="1"/>
    <col min="5142" max="5143" width="7.28515625" style="339" customWidth="1"/>
    <col min="5144" max="5144" width="7.85546875" style="339" bestFit="1" customWidth="1"/>
    <col min="5145" max="5157" width="7.28515625" style="339" customWidth="1"/>
    <col min="5158" max="5158" width="11.5703125" style="339" bestFit="1" customWidth="1"/>
    <col min="5159" max="5378" width="11.42578125" style="339"/>
    <col min="5379" max="5379" width="13.7109375" style="339" customWidth="1"/>
    <col min="5380" max="5380" width="12.140625" style="339" customWidth="1"/>
    <col min="5381" max="5394" width="11" style="339" customWidth="1"/>
    <col min="5395" max="5397" width="10.42578125" style="339" customWidth="1"/>
    <col min="5398" max="5399" width="7.28515625" style="339" customWidth="1"/>
    <col min="5400" max="5400" width="7.85546875" style="339" bestFit="1" customWidth="1"/>
    <col min="5401" max="5413" width="7.28515625" style="339" customWidth="1"/>
    <col min="5414" max="5414" width="11.5703125" style="339" bestFit="1" customWidth="1"/>
    <col min="5415" max="5634" width="11.42578125" style="339"/>
    <col min="5635" max="5635" width="13.7109375" style="339" customWidth="1"/>
    <col min="5636" max="5636" width="12.140625" style="339" customWidth="1"/>
    <col min="5637" max="5650" width="11" style="339" customWidth="1"/>
    <col min="5651" max="5653" width="10.42578125" style="339" customWidth="1"/>
    <col min="5654" max="5655" width="7.28515625" style="339" customWidth="1"/>
    <col min="5656" max="5656" width="7.85546875" style="339" bestFit="1" customWidth="1"/>
    <col min="5657" max="5669" width="7.28515625" style="339" customWidth="1"/>
    <col min="5670" max="5670" width="11.5703125" style="339" bestFit="1" customWidth="1"/>
    <col min="5671" max="5890" width="11.42578125" style="339"/>
    <col min="5891" max="5891" width="13.7109375" style="339" customWidth="1"/>
    <col min="5892" max="5892" width="12.140625" style="339" customWidth="1"/>
    <col min="5893" max="5906" width="11" style="339" customWidth="1"/>
    <col min="5907" max="5909" width="10.42578125" style="339" customWidth="1"/>
    <col min="5910" max="5911" width="7.28515625" style="339" customWidth="1"/>
    <col min="5912" max="5912" width="7.85546875" style="339" bestFit="1" customWidth="1"/>
    <col min="5913" max="5925" width="7.28515625" style="339" customWidth="1"/>
    <col min="5926" max="5926" width="11.5703125" style="339" bestFit="1" customWidth="1"/>
    <col min="5927" max="6146" width="11.42578125" style="339"/>
    <col min="6147" max="6147" width="13.7109375" style="339" customWidth="1"/>
    <col min="6148" max="6148" width="12.140625" style="339" customWidth="1"/>
    <col min="6149" max="6162" width="11" style="339" customWidth="1"/>
    <col min="6163" max="6165" width="10.42578125" style="339" customWidth="1"/>
    <col min="6166" max="6167" width="7.28515625" style="339" customWidth="1"/>
    <col min="6168" max="6168" width="7.85546875" style="339" bestFit="1" customWidth="1"/>
    <col min="6169" max="6181" width="7.28515625" style="339" customWidth="1"/>
    <col min="6182" max="6182" width="11.5703125" style="339" bestFit="1" customWidth="1"/>
    <col min="6183" max="6402" width="11.42578125" style="339"/>
    <col min="6403" max="6403" width="13.7109375" style="339" customWidth="1"/>
    <col min="6404" max="6404" width="12.140625" style="339" customWidth="1"/>
    <col min="6405" max="6418" width="11" style="339" customWidth="1"/>
    <col min="6419" max="6421" width="10.42578125" style="339" customWidth="1"/>
    <col min="6422" max="6423" width="7.28515625" style="339" customWidth="1"/>
    <col min="6424" max="6424" width="7.85546875" style="339" bestFit="1" customWidth="1"/>
    <col min="6425" max="6437" width="7.28515625" style="339" customWidth="1"/>
    <col min="6438" max="6438" width="11.5703125" style="339" bestFit="1" customWidth="1"/>
    <col min="6439" max="6658" width="11.42578125" style="339"/>
    <col min="6659" max="6659" width="13.7109375" style="339" customWidth="1"/>
    <col min="6660" max="6660" width="12.140625" style="339" customWidth="1"/>
    <col min="6661" max="6674" width="11" style="339" customWidth="1"/>
    <col min="6675" max="6677" width="10.42578125" style="339" customWidth="1"/>
    <col min="6678" max="6679" width="7.28515625" style="339" customWidth="1"/>
    <col min="6680" max="6680" width="7.85546875" style="339" bestFit="1" customWidth="1"/>
    <col min="6681" max="6693" width="7.28515625" style="339" customWidth="1"/>
    <col min="6694" max="6694" width="11.5703125" style="339" bestFit="1" customWidth="1"/>
    <col min="6695" max="6914" width="11.42578125" style="339"/>
    <col min="6915" max="6915" width="13.7109375" style="339" customWidth="1"/>
    <col min="6916" max="6916" width="12.140625" style="339" customWidth="1"/>
    <col min="6917" max="6930" width="11" style="339" customWidth="1"/>
    <col min="6931" max="6933" width="10.42578125" style="339" customWidth="1"/>
    <col min="6934" max="6935" width="7.28515625" style="339" customWidth="1"/>
    <col min="6936" max="6936" width="7.85546875" style="339" bestFit="1" customWidth="1"/>
    <col min="6937" max="6949" width="7.28515625" style="339" customWidth="1"/>
    <col min="6950" max="6950" width="11.5703125" style="339" bestFit="1" customWidth="1"/>
    <col min="6951" max="7170" width="11.42578125" style="339"/>
    <col min="7171" max="7171" width="13.7109375" style="339" customWidth="1"/>
    <col min="7172" max="7172" width="12.140625" style="339" customWidth="1"/>
    <col min="7173" max="7186" width="11" style="339" customWidth="1"/>
    <col min="7187" max="7189" width="10.42578125" style="339" customWidth="1"/>
    <col min="7190" max="7191" width="7.28515625" style="339" customWidth="1"/>
    <col min="7192" max="7192" width="7.85546875" style="339" bestFit="1" customWidth="1"/>
    <col min="7193" max="7205" width="7.28515625" style="339" customWidth="1"/>
    <col min="7206" max="7206" width="11.5703125" style="339" bestFit="1" customWidth="1"/>
    <col min="7207" max="7426" width="11.42578125" style="339"/>
    <col min="7427" max="7427" width="13.7109375" style="339" customWidth="1"/>
    <col min="7428" max="7428" width="12.140625" style="339" customWidth="1"/>
    <col min="7429" max="7442" width="11" style="339" customWidth="1"/>
    <col min="7443" max="7445" width="10.42578125" style="339" customWidth="1"/>
    <col min="7446" max="7447" width="7.28515625" style="339" customWidth="1"/>
    <col min="7448" max="7448" width="7.85546875" style="339" bestFit="1" customWidth="1"/>
    <col min="7449" max="7461" width="7.28515625" style="339" customWidth="1"/>
    <col min="7462" max="7462" width="11.5703125" style="339" bestFit="1" customWidth="1"/>
    <col min="7463" max="7682" width="11.42578125" style="339"/>
    <col min="7683" max="7683" width="13.7109375" style="339" customWidth="1"/>
    <col min="7684" max="7684" width="12.140625" style="339" customWidth="1"/>
    <col min="7685" max="7698" width="11" style="339" customWidth="1"/>
    <col min="7699" max="7701" width="10.42578125" style="339" customWidth="1"/>
    <col min="7702" max="7703" width="7.28515625" style="339" customWidth="1"/>
    <col min="7704" max="7704" width="7.85546875" style="339" bestFit="1" customWidth="1"/>
    <col min="7705" max="7717" width="7.28515625" style="339" customWidth="1"/>
    <col min="7718" max="7718" width="11.5703125" style="339" bestFit="1" customWidth="1"/>
    <col min="7719" max="7938" width="11.42578125" style="339"/>
    <col min="7939" max="7939" width="13.7109375" style="339" customWidth="1"/>
    <col min="7940" max="7940" width="12.140625" style="339" customWidth="1"/>
    <col min="7941" max="7954" width="11" style="339" customWidth="1"/>
    <col min="7955" max="7957" width="10.42578125" style="339" customWidth="1"/>
    <col min="7958" max="7959" width="7.28515625" style="339" customWidth="1"/>
    <col min="7960" max="7960" width="7.85546875" style="339" bestFit="1" customWidth="1"/>
    <col min="7961" max="7973" width="7.28515625" style="339" customWidth="1"/>
    <col min="7974" max="7974" width="11.5703125" style="339" bestFit="1" customWidth="1"/>
    <col min="7975" max="8194" width="11.42578125" style="339"/>
    <col min="8195" max="8195" width="13.7109375" style="339" customWidth="1"/>
    <col min="8196" max="8196" width="12.140625" style="339" customWidth="1"/>
    <col min="8197" max="8210" width="11" style="339" customWidth="1"/>
    <col min="8211" max="8213" width="10.42578125" style="339" customWidth="1"/>
    <col min="8214" max="8215" width="7.28515625" style="339" customWidth="1"/>
    <col min="8216" max="8216" width="7.85546875" style="339" bestFit="1" customWidth="1"/>
    <col min="8217" max="8229" width="7.28515625" style="339" customWidth="1"/>
    <col min="8230" max="8230" width="11.5703125" style="339" bestFit="1" customWidth="1"/>
    <col min="8231" max="8450" width="11.42578125" style="339"/>
    <col min="8451" max="8451" width="13.7109375" style="339" customWidth="1"/>
    <col min="8452" max="8452" width="12.140625" style="339" customWidth="1"/>
    <col min="8453" max="8466" width="11" style="339" customWidth="1"/>
    <col min="8467" max="8469" width="10.42578125" style="339" customWidth="1"/>
    <col min="8470" max="8471" width="7.28515625" style="339" customWidth="1"/>
    <col min="8472" max="8472" width="7.85546875" style="339" bestFit="1" customWidth="1"/>
    <col min="8473" max="8485" width="7.28515625" style="339" customWidth="1"/>
    <col min="8486" max="8486" width="11.5703125" style="339" bestFit="1" customWidth="1"/>
    <col min="8487" max="8706" width="11.42578125" style="339"/>
    <col min="8707" max="8707" width="13.7109375" style="339" customWidth="1"/>
    <col min="8708" max="8708" width="12.140625" style="339" customWidth="1"/>
    <col min="8709" max="8722" width="11" style="339" customWidth="1"/>
    <col min="8723" max="8725" width="10.42578125" style="339" customWidth="1"/>
    <col min="8726" max="8727" width="7.28515625" style="339" customWidth="1"/>
    <col min="8728" max="8728" width="7.85546875" style="339" bestFit="1" customWidth="1"/>
    <col min="8729" max="8741" width="7.28515625" style="339" customWidth="1"/>
    <col min="8742" max="8742" width="11.5703125" style="339" bestFit="1" customWidth="1"/>
    <col min="8743" max="8962" width="11.42578125" style="339"/>
    <col min="8963" max="8963" width="13.7109375" style="339" customWidth="1"/>
    <col min="8964" max="8964" width="12.140625" style="339" customWidth="1"/>
    <col min="8965" max="8978" width="11" style="339" customWidth="1"/>
    <col min="8979" max="8981" width="10.42578125" style="339" customWidth="1"/>
    <col min="8982" max="8983" width="7.28515625" style="339" customWidth="1"/>
    <col min="8984" max="8984" width="7.85546875" style="339" bestFit="1" customWidth="1"/>
    <col min="8985" max="8997" width="7.28515625" style="339" customWidth="1"/>
    <col min="8998" max="8998" width="11.5703125" style="339" bestFit="1" customWidth="1"/>
    <col min="8999" max="9218" width="11.42578125" style="339"/>
    <col min="9219" max="9219" width="13.7109375" style="339" customWidth="1"/>
    <col min="9220" max="9220" width="12.140625" style="339" customWidth="1"/>
    <col min="9221" max="9234" width="11" style="339" customWidth="1"/>
    <col min="9235" max="9237" width="10.42578125" style="339" customWidth="1"/>
    <col min="9238" max="9239" width="7.28515625" style="339" customWidth="1"/>
    <col min="9240" max="9240" width="7.85546875" style="339" bestFit="1" customWidth="1"/>
    <col min="9241" max="9253" width="7.28515625" style="339" customWidth="1"/>
    <col min="9254" max="9254" width="11.5703125" style="339" bestFit="1" customWidth="1"/>
    <col min="9255" max="9474" width="11.42578125" style="339"/>
    <col min="9475" max="9475" width="13.7109375" style="339" customWidth="1"/>
    <col min="9476" max="9476" width="12.140625" style="339" customWidth="1"/>
    <col min="9477" max="9490" width="11" style="339" customWidth="1"/>
    <col min="9491" max="9493" width="10.42578125" style="339" customWidth="1"/>
    <col min="9494" max="9495" width="7.28515625" style="339" customWidth="1"/>
    <col min="9496" max="9496" width="7.85546875" style="339" bestFit="1" customWidth="1"/>
    <col min="9497" max="9509" width="7.28515625" style="339" customWidth="1"/>
    <col min="9510" max="9510" width="11.5703125" style="339" bestFit="1" customWidth="1"/>
    <col min="9511" max="9730" width="11.42578125" style="339"/>
    <col min="9731" max="9731" width="13.7109375" style="339" customWidth="1"/>
    <col min="9732" max="9732" width="12.140625" style="339" customWidth="1"/>
    <col min="9733" max="9746" width="11" style="339" customWidth="1"/>
    <col min="9747" max="9749" width="10.42578125" style="339" customWidth="1"/>
    <col min="9750" max="9751" width="7.28515625" style="339" customWidth="1"/>
    <col min="9752" max="9752" width="7.85546875" style="339" bestFit="1" customWidth="1"/>
    <col min="9753" max="9765" width="7.28515625" style="339" customWidth="1"/>
    <col min="9766" max="9766" width="11.5703125" style="339" bestFit="1" customWidth="1"/>
    <col min="9767" max="9986" width="11.42578125" style="339"/>
    <col min="9987" max="9987" width="13.7109375" style="339" customWidth="1"/>
    <col min="9988" max="9988" width="12.140625" style="339" customWidth="1"/>
    <col min="9989" max="10002" width="11" style="339" customWidth="1"/>
    <col min="10003" max="10005" width="10.42578125" style="339" customWidth="1"/>
    <col min="10006" max="10007" width="7.28515625" style="339" customWidth="1"/>
    <col min="10008" max="10008" width="7.85546875" style="339" bestFit="1" customWidth="1"/>
    <col min="10009" max="10021" width="7.28515625" style="339" customWidth="1"/>
    <col min="10022" max="10022" width="11.5703125" style="339" bestFit="1" customWidth="1"/>
    <col min="10023" max="10242" width="11.42578125" style="339"/>
    <col min="10243" max="10243" width="13.7109375" style="339" customWidth="1"/>
    <col min="10244" max="10244" width="12.140625" style="339" customWidth="1"/>
    <col min="10245" max="10258" width="11" style="339" customWidth="1"/>
    <col min="10259" max="10261" width="10.42578125" style="339" customWidth="1"/>
    <col min="10262" max="10263" width="7.28515625" style="339" customWidth="1"/>
    <col min="10264" max="10264" width="7.85546875" style="339" bestFit="1" customWidth="1"/>
    <col min="10265" max="10277" width="7.28515625" style="339" customWidth="1"/>
    <col min="10278" max="10278" width="11.5703125" style="339" bestFit="1" customWidth="1"/>
    <col min="10279" max="10498" width="11.42578125" style="339"/>
    <col min="10499" max="10499" width="13.7109375" style="339" customWidth="1"/>
    <col min="10500" max="10500" width="12.140625" style="339" customWidth="1"/>
    <col min="10501" max="10514" width="11" style="339" customWidth="1"/>
    <col min="10515" max="10517" width="10.42578125" style="339" customWidth="1"/>
    <col min="10518" max="10519" width="7.28515625" style="339" customWidth="1"/>
    <col min="10520" max="10520" width="7.85546875" style="339" bestFit="1" customWidth="1"/>
    <col min="10521" max="10533" width="7.28515625" style="339" customWidth="1"/>
    <col min="10534" max="10534" width="11.5703125" style="339" bestFit="1" customWidth="1"/>
    <col min="10535" max="10754" width="11.42578125" style="339"/>
    <col min="10755" max="10755" width="13.7109375" style="339" customWidth="1"/>
    <col min="10756" max="10756" width="12.140625" style="339" customWidth="1"/>
    <col min="10757" max="10770" width="11" style="339" customWidth="1"/>
    <col min="10771" max="10773" width="10.42578125" style="339" customWidth="1"/>
    <col min="10774" max="10775" width="7.28515625" style="339" customWidth="1"/>
    <col min="10776" max="10776" width="7.85546875" style="339" bestFit="1" customWidth="1"/>
    <col min="10777" max="10789" width="7.28515625" style="339" customWidth="1"/>
    <col min="10790" max="10790" width="11.5703125" style="339" bestFit="1" customWidth="1"/>
    <col min="10791" max="11010" width="11.42578125" style="339"/>
    <col min="11011" max="11011" width="13.7109375" style="339" customWidth="1"/>
    <col min="11012" max="11012" width="12.140625" style="339" customWidth="1"/>
    <col min="11013" max="11026" width="11" style="339" customWidth="1"/>
    <col min="11027" max="11029" width="10.42578125" style="339" customWidth="1"/>
    <col min="11030" max="11031" width="7.28515625" style="339" customWidth="1"/>
    <col min="11032" max="11032" width="7.85546875" style="339" bestFit="1" customWidth="1"/>
    <col min="11033" max="11045" width="7.28515625" style="339" customWidth="1"/>
    <col min="11046" max="11046" width="11.5703125" style="339" bestFit="1" customWidth="1"/>
    <col min="11047" max="11266" width="11.42578125" style="339"/>
    <col min="11267" max="11267" width="13.7109375" style="339" customWidth="1"/>
    <col min="11268" max="11268" width="12.140625" style="339" customWidth="1"/>
    <col min="11269" max="11282" width="11" style="339" customWidth="1"/>
    <col min="11283" max="11285" width="10.42578125" style="339" customWidth="1"/>
    <col min="11286" max="11287" width="7.28515625" style="339" customWidth="1"/>
    <col min="11288" max="11288" width="7.85546875" style="339" bestFit="1" customWidth="1"/>
    <col min="11289" max="11301" width="7.28515625" style="339" customWidth="1"/>
    <col min="11302" max="11302" width="11.5703125" style="339" bestFit="1" customWidth="1"/>
    <col min="11303" max="11522" width="11.42578125" style="339"/>
    <col min="11523" max="11523" width="13.7109375" style="339" customWidth="1"/>
    <col min="11524" max="11524" width="12.140625" style="339" customWidth="1"/>
    <col min="11525" max="11538" width="11" style="339" customWidth="1"/>
    <col min="11539" max="11541" width="10.42578125" style="339" customWidth="1"/>
    <col min="11542" max="11543" width="7.28515625" style="339" customWidth="1"/>
    <col min="11544" max="11544" width="7.85546875" style="339" bestFit="1" customWidth="1"/>
    <col min="11545" max="11557" width="7.28515625" style="339" customWidth="1"/>
    <col min="11558" max="11558" width="11.5703125" style="339" bestFit="1" customWidth="1"/>
    <col min="11559" max="11778" width="11.42578125" style="339"/>
    <col min="11779" max="11779" width="13.7109375" style="339" customWidth="1"/>
    <col min="11780" max="11780" width="12.140625" style="339" customWidth="1"/>
    <col min="11781" max="11794" width="11" style="339" customWidth="1"/>
    <col min="11795" max="11797" width="10.42578125" style="339" customWidth="1"/>
    <col min="11798" max="11799" width="7.28515625" style="339" customWidth="1"/>
    <col min="11800" max="11800" width="7.85546875" style="339" bestFit="1" customWidth="1"/>
    <col min="11801" max="11813" width="7.28515625" style="339" customWidth="1"/>
    <col min="11814" max="11814" width="11.5703125" style="339" bestFit="1" customWidth="1"/>
    <col min="11815" max="12034" width="11.42578125" style="339"/>
    <col min="12035" max="12035" width="13.7109375" style="339" customWidth="1"/>
    <col min="12036" max="12036" width="12.140625" style="339" customWidth="1"/>
    <col min="12037" max="12050" width="11" style="339" customWidth="1"/>
    <col min="12051" max="12053" width="10.42578125" style="339" customWidth="1"/>
    <col min="12054" max="12055" width="7.28515625" style="339" customWidth="1"/>
    <col min="12056" max="12056" width="7.85546875" style="339" bestFit="1" customWidth="1"/>
    <col min="12057" max="12069" width="7.28515625" style="339" customWidth="1"/>
    <col min="12070" max="12070" width="11.5703125" style="339" bestFit="1" customWidth="1"/>
    <col min="12071" max="12290" width="11.42578125" style="339"/>
    <col min="12291" max="12291" width="13.7109375" style="339" customWidth="1"/>
    <col min="12292" max="12292" width="12.140625" style="339" customWidth="1"/>
    <col min="12293" max="12306" width="11" style="339" customWidth="1"/>
    <col min="12307" max="12309" width="10.42578125" style="339" customWidth="1"/>
    <col min="12310" max="12311" width="7.28515625" style="339" customWidth="1"/>
    <col min="12312" max="12312" width="7.85546875" style="339" bestFit="1" customWidth="1"/>
    <col min="12313" max="12325" width="7.28515625" style="339" customWidth="1"/>
    <col min="12326" max="12326" width="11.5703125" style="339" bestFit="1" customWidth="1"/>
    <col min="12327" max="12546" width="11.42578125" style="339"/>
    <col min="12547" max="12547" width="13.7109375" style="339" customWidth="1"/>
    <col min="12548" max="12548" width="12.140625" style="339" customWidth="1"/>
    <col min="12549" max="12562" width="11" style="339" customWidth="1"/>
    <col min="12563" max="12565" width="10.42578125" style="339" customWidth="1"/>
    <col min="12566" max="12567" width="7.28515625" style="339" customWidth="1"/>
    <col min="12568" max="12568" width="7.85546875" style="339" bestFit="1" customWidth="1"/>
    <col min="12569" max="12581" width="7.28515625" style="339" customWidth="1"/>
    <col min="12582" max="12582" width="11.5703125" style="339" bestFit="1" customWidth="1"/>
    <col min="12583" max="12802" width="11.42578125" style="339"/>
    <col min="12803" max="12803" width="13.7109375" style="339" customWidth="1"/>
    <col min="12804" max="12804" width="12.140625" style="339" customWidth="1"/>
    <col min="12805" max="12818" width="11" style="339" customWidth="1"/>
    <col min="12819" max="12821" width="10.42578125" style="339" customWidth="1"/>
    <col min="12822" max="12823" width="7.28515625" style="339" customWidth="1"/>
    <col min="12824" max="12824" width="7.85546875" style="339" bestFit="1" customWidth="1"/>
    <col min="12825" max="12837" width="7.28515625" style="339" customWidth="1"/>
    <col min="12838" max="12838" width="11.5703125" style="339" bestFit="1" customWidth="1"/>
    <col min="12839" max="13058" width="11.42578125" style="339"/>
    <col min="13059" max="13059" width="13.7109375" style="339" customWidth="1"/>
    <col min="13060" max="13060" width="12.140625" style="339" customWidth="1"/>
    <col min="13061" max="13074" width="11" style="339" customWidth="1"/>
    <col min="13075" max="13077" width="10.42578125" style="339" customWidth="1"/>
    <col min="13078" max="13079" width="7.28515625" style="339" customWidth="1"/>
    <col min="13080" max="13080" width="7.85546875" style="339" bestFit="1" customWidth="1"/>
    <col min="13081" max="13093" width="7.28515625" style="339" customWidth="1"/>
    <col min="13094" max="13094" width="11.5703125" style="339" bestFit="1" customWidth="1"/>
    <col min="13095" max="13314" width="11.42578125" style="339"/>
    <col min="13315" max="13315" width="13.7109375" style="339" customWidth="1"/>
    <col min="13316" max="13316" width="12.140625" style="339" customWidth="1"/>
    <col min="13317" max="13330" width="11" style="339" customWidth="1"/>
    <col min="13331" max="13333" width="10.42578125" style="339" customWidth="1"/>
    <col min="13334" max="13335" width="7.28515625" style="339" customWidth="1"/>
    <col min="13336" max="13336" width="7.85546875" style="339" bestFit="1" customWidth="1"/>
    <col min="13337" max="13349" width="7.28515625" style="339" customWidth="1"/>
    <col min="13350" max="13350" width="11.5703125" style="339" bestFit="1" customWidth="1"/>
    <col min="13351" max="13570" width="11.42578125" style="339"/>
    <col min="13571" max="13571" width="13.7109375" style="339" customWidth="1"/>
    <col min="13572" max="13572" width="12.140625" style="339" customWidth="1"/>
    <col min="13573" max="13586" width="11" style="339" customWidth="1"/>
    <col min="13587" max="13589" width="10.42578125" style="339" customWidth="1"/>
    <col min="13590" max="13591" width="7.28515625" style="339" customWidth="1"/>
    <col min="13592" max="13592" width="7.85546875" style="339" bestFit="1" customWidth="1"/>
    <col min="13593" max="13605" width="7.28515625" style="339" customWidth="1"/>
    <col min="13606" max="13606" width="11.5703125" style="339" bestFit="1" customWidth="1"/>
    <col min="13607" max="13826" width="11.42578125" style="339"/>
    <col min="13827" max="13827" width="13.7109375" style="339" customWidth="1"/>
    <col min="13828" max="13828" width="12.140625" style="339" customWidth="1"/>
    <col min="13829" max="13842" width="11" style="339" customWidth="1"/>
    <col min="13843" max="13845" width="10.42578125" style="339" customWidth="1"/>
    <col min="13846" max="13847" width="7.28515625" style="339" customWidth="1"/>
    <col min="13848" max="13848" width="7.85546875" style="339" bestFit="1" customWidth="1"/>
    <col min="13849" max="13861" width="7.28515625" style="339" customWidth="1"/>
    <col min="13862" max="13862" width="11.5703125" style="339" bestFit="1" customWidth="1"/>
    <col min="13863" max="14082" width="11.42578125" style="339"/>
    <col min="14083" max="14083" width="13.7109375" style="339" customWidth="1"/>
    <col min="14084" max="14084" width="12.140625" style="339" customWidth="1"/>
    <col min="14085" max="14098" width="11" style="339" customWidth="1"/>
    <col min="14099" max="14101" width="10.42578125" style="339" customWidth="1"/>
    <col min="14102" max="14103" width="7.28515625" style="339" customWidth="1"/>
    <col min="14104" max="14104" width="7.85546875" style="339" bestFit="1" customWidth="1"/>
    <col min="14105" max="14117" width="7.28515625" style="339" customWidth="1"/>
    <col min="14118" max="14118" width="11.5703125" style="339" bestFit="1" customWidth="1"/>
    <col min="14119" max="14338" width="11.42578125" style="339"/>
    <col min="14339" max="14339" width="13.7109375" style="339" customWidth="1"/>
    <col min="14340" max="14340" width="12.140625" style="339" customWidth="1"/>
    <col min="14341" max="14354" width="11" style="339" customWidth="1"/>
    <col min="14355" max="14357" width="10.42578125" style="339" customWidth="1"/>
    <col min="14358" max="14359" width="7.28515625" style="339" customWidth="1"/>
    <col min="14360" max="14360" width="7.85546875" style="339" bestFit="1" customWidth="1"/>
    <col min="14361" max="14373" width="7.28515625" style="339" customWidth="1"/>
    <col min="14374" max="14374" width="11.5703125" style="339" bestFit="1" customWidth="1"/>
    <col min="14375" max="14594" width="11.42578125" style="339"/>
    <col min="14595" max="14595" width="13.7109375" style="339" customWidth="1"/>
    <col min="14596" max="14596" width="12.140625" style="339" customWidth="1"/>
    <col min="14597" max="14610" width="11" style="339" customWidth="1"/>
    <col min="14611" max="14613" width="10.42578125" style="339" customWidth="1"/>
    <col min="14614" max="14615" width="7.28515625" style="339" customWidth="1"/>
    <col min="14616" max="14616" width="7.85546875" style="339" bestFit="1" customWidth="1"/>
    <col min="14617" max="14629" width="7.28515625" style="339" customWidth="1"/>
    <col min="14630" max="14630" width="11.5703125" style="339" bestFit="1" customWidth="1"/>
    <col min="14631" max="14850" width="11.42578125" style="339"/>
    <col min="14851" max="14851" width="13.7109375" style="339" customWidth="1"/>
    <col min="14852" max="14852" width="12.140625" style="339" customWidth="1"/>
    <col min="14853" max="14866" width="11" style="339" customWidth="1"/>
    <col min="14867" max="14869" width="10.42578125" style="339" customWidth="1"/>
    <col min="14870" max="14871" width="7.28515625" style="339" customWidth="1"/>
    <col min="14872" max="14872" width="7.85546875" style="339" bestFit="1" customWidth="1"/>
    <col min="14873" max="14885" width="7.28515625" style="339" customWidth="1"/>
    <col min="14886" max="14886" width="11.5703125" style="339" bestFit="1" customWidth="1"/>
    <col min="14887" max="15106" width="11.42578125" style="339"/>
    <col min="15107" max="15107" width="13.7109375" style="339" customWidth="1"/>
    <col min="15108" max="15108" width="12.140625" style="339" customWidth="1"/>
    <col min="15109" max="15122" width="11" style="339" customWidth="1"/>
    <col min="15123" max="15125" width="10.42578125" style="339" customWidth="1"/>
    <col min="15126" max="15127" width="7.28515625" style="339" customWidth="1"/>
    <col min="15128" max="15128" width="7.85546875" style="339" bestFit="1" customWidth="1"/>
    <col min="15129" max="15141" width="7.28515625" style="339" customWidth="1"/>
    <col min="15142" max="15142" width="11.5703125" style="339" bestFit="1" customWidth="1"/>
    <col min="15143" max="15362" width="11.42578125" style="339"/>
    <col min="15363" max="15363" width="13.7109375" style="339" customWidth="1"/>
    <col min="15364" max="15364" width="12.140625" style="339" customWidth="1"/>
    <col min="15365" max="15378" width="11" style="339" customWidth="1"/>
    <col min="15379" max="15381" width="10.42578125" style="339" customWidth="1"/>
    <col min="15382" max="15383" width="7.28515625" style="339" customWidth="1"/>
    <col min="15384" max="15384" width="7.85546875" style="339" bestFit="1" customWidth="1"/>
    <col min="15385" max="15397" width="7.28515625" style="339" customWidth="1"/>
    <col min="15398" max="15398" width="11.5703125" style="339" bestFit="1" customWidth="1"/>
    <col min="15399" max="15618" width="11.42578125" style="339"/>
    <col min="15619" max="15619" width="13.7109375" style="339" customWidth="1"/>
    <col min="15620" max="15620" width="12.140625" style="339" customWidth="1"/>
    <col min="15621" max="15634" width="11" style="339" customWidth="1"/>
    <col min="15635" max="15637" width="10.42578125" style="339" customWidth="1"/>
    <col min="15638" max="15639" width="7.28515625" style="339" customWidth="1"/>
    <col min="15640" max="15640" width="7.85546875" style="339" bestFit="1" customWidth="1"/>
    <col min="15641" max="15653" width="7.28515625" style="339" customWidth="1"/>
    <col min="15654" max="15654" width="11.5703125" style="339" bestFit="1" customWidth="1"/>
    <col min="15655" max="15874" width="11.42578125" style="339"/>
    <col min="15875" max="15875" width="13.7109375" style="339" customWidth="1"/>
    <col min="15876" max="15876" width="12.140625" style="339" customWidth="1"/>
    <col min="15877" max="15890" width="11" style="339" customWidth="1"/>
    <col min="15891" max="15893" width="10.42578125" style="339" customWidth="1"/>
    <col min="15894" max="15895" width="7.28515625" style="339" customWidth="1"/>
    <col min="15896" max="15896" width="7.85546875" style="339" bestFit="1" customWidth="1"/>
    <col min="15897" max="15909" width="7.28515625" style="339" customWidth="1"/>
    <col min="15910" max="15910" width="11.5703125" style="339" bestFit="1" customWidth="1"/>
    <col min="15911" max="16130" width="11.42578125" style="339"/>
    <col min="16131" max="16131" width="13.7109375" style="339" customWidth="1"/>
    <col min="16132" max="16132" width="12.140625" style="339" customWidth="1"/>
    <col min="16133" max="16146" width="11" style="339" customWidth="1"/>
    <col min="16147" max="16149" width="10.42578125" style="339" customWidth="1"/>
    <col min="16150" max="16151" width="7.28515625" style="339" customWidth="1"/>
    <col min="16152" max="16152" width="7.85546875" style="339" bestFit="1" customWidth="1"/>
    <col min="16153" max="16165" width="7.28515625" style="339" customWidth="1"/>
    <col min="16166" max="16166" width="11.5703125" style="339" bestFit="1" customWidth="1"/>
    <col min="16167" max="16384" width="11.42578125" style="339"/>
  </cols>
  <sheetData>
    <row r="3" spans="2:12">
      <c r="B3" s="338"/>
    </row>
    <row r="4" spans="2:12">
      <c r="B4" s="338"/>
    </row>
    <row r="5" spans="2:12">
      <c r="B5" s="338"/>
    </row>
    <row r="6" spans="2:12" ht="27.75" customHeight="1" thickBot="1">
      <c r="B6" s="220" t="s">
        <v>288</v>
      </c>
      <c r="C6" s="221"/>
      <c r="D6" s="221"/>
      <c r="E6" s="221"/>
      <c r="F6" s="221"/>
    </row>
    <row r="7" spans="2:12" ht="36.75" thickBot="1">
      <c r="B7" s="303"/>
      <c r="C7" s="304" t="s">
        <v>273</v>
      </c>
      <c r="D7" s="304" t="s">
        <v>201</v>
      </c>
      <c r="E7" s="304" t="s">
        <v>202</v>
      </c>
      <c r="F7" s="304" t="s">
        <v>203</v>
      </c>
      <c r="H7" s="60" t="s">
        <v>49</v>
      </c>
    </row>
    <row r="8" spans="2:12" ht="15" hidden="1">
      <c r="B8" s="305" t="s">
        <v>204</v>
      </c>
      <c r="C8" s="387">
        <f>GETPIVOTDATA("dato",'[1]tabla dinámica EM'!$A$58,"categoría","TOTAL","mes",12,"año",2010)</f>
        <v>0</v>
      </c>
      <c r="D8" s="411">
        <f t="shared" ref="D8:D31" si="0">IFERROR(C8-C9,"-")</f>
        <v>0</v>
      </c>
      <c r="E8" s="411">
        <f>IFERROR(C8-C21,"-")</f>
        <v>-8.4360997327235694</v>
      </c>
      <c r="F8" s="412">
        <f>IFERROR(AVERAGE(C8:C19)-AVERAGE(C21:C32),"-")</f>
        <v>-3.5955203840176297</v>
      </c>
    </row>
    <row r="9" spans="2:12" ht="15" hidden="1">
      <c r="B9" s="305" t="s">
        <v>205</v>
      </c>
      <c r="C9" s="387">
        <f>GETPIVOTDATA("dato",'[1]tabla dinámica EM'!$A$58,"categoría","TOTAL","mes",11,"año",2010)</f>
        <v>0</v>
      </c>
      <c r="D9" s="411">
        <f t="shared" si="0"/>
        <v>0</v>
      </c>
      <c r="E9" s="411">
        <f t="shared" ref="E9:E59" si="1">IFERROR(C9-C22,"-")</f>
        <v>-8.7139572368169773</v>
      </c>
      <c r="F9" s="412">
        <f>IFERROR(AVERAGE(C9:C19,C21)-AVERAGE(C22:C32,C34),"-")</f>
        <v>-2.9103370952303669</v>
      </c>
    </row>
    <row r="10" spans="2:12" ht="15" hidden="1">
      <c r="B10" s="305" t="s">
        <v>206</v>
      </c>
      <c r="C10" s="387">
        <f>GETPIVOTDATA("dato",'[1]tabla dinámica EM'!$A$58,"categoría","TOTAL","mes",10,"año",2010)</f>
        <v>0</v>
      </c>
      <c r="D10" s="411">
        <f t="shared" si="0"/>
        <v>0</v>
      </c>
      <c r="E10" s="411">
        <f t="shared" si="1"/>
        <v>-7.5565637942184125</v>
      </c>
      <c r="F10" s="412">
        <f>IFERROR(AVERAGE(C10:C19,C21:C22)-AVERAGE(C23:C32,C34:C35),"-")</f>
        <v>-2.1605108890942066</v>
      </c>
    </row>
    <row r="11" spans="2:12" ht="15" hidden="1">
      <c r="B11" s="305" t="s">
        <v>207</v>
      </c>
      <c r="C11" s="387">
        <f>GETPIVOTDATA("dato",'[1]tabla dinámica EM'!$A$58,"categoría","TOTAL","mes",9,"año",2010)</f>
        <v>0</v>
      </c>
      <c r="D11" s="411">
        <f t="shared" si="0"/>
        <v>0</v>
      </c>
      <c r="E11" s="411">
        <f t="shared" si="1"/>
        <v>-8.49</v>
      </c>
      <c r="F11" s="412">
        <f>IFERROR(AVERAGE(C11:C19,C21:C23)-AVERAGE(C24:C32,C34:C36),"-")</f>
        <v>-1.5694169233911364</v>
      </c>
      <c r="H11" s="12"/>
    </row>
    <row r="12" spans="2:12" ht="15" hidden="1">
      <c r="B12" s="305" t="s">
        <v>208</v>
      </c>
      <c r="C12" s="387">
        <f>GETPIVOTDATA("dato",'[1]tabla dinámica EM'!$A$58,"categoría","TOTAL","mes",8,"año",2010)</f>
        <v>0</v>
      </c>
      <c r="D12" s="411">
        <f t="shared" si="0"/>
        <v>-7.9961988357786877</v>
      </c>
      <c r="E12" s="411">
        <f t="shared" si="1"/>
        <v>-8.1999999999999993</v>
      </c>
      <c r="F12" s="412">
        <f>IFERROR(AVERAGE(C12:C19,C21:C24)-AVERAGE(C25:C32,C34:C37),"-")</f>
        <v>-0.87775025672446993</v>
      </c>
      <c r="G12" s="12"/>
      <c r="H12" s="12"/>
      <c r="I12" s="12"/>
      <c r="J12" s="12"/>
      <c r="K12" s="12"/>
      <c r="L12" s="12"/>
    </row>
    <row r="13" spans="2:12" ht="15" hidden="1">
      <c r="B13" s="305" t="s">
        <v>209</v>
      </c>
      <c r="C13" s="387">
        <f>GETPIVOTDATA("dato",'[1]tabla dinámica EM'!$A$58,"categoría","TOTAL","mes",7,"año",2010)</f>
        <v>7.9961988357786877</v>
      </c>
      <c r="D13" s="411">
        <f t="shared" si="0"/>
        <v>0.26412594036607118</v>
      </c>
      <c r="E13" s="411">
        <f t="shared" si="1"/>
        <v>-7.3801164221312554E-2</v>
      </c>
      <c r="F13" s="412">
        <f>IFERROR(AVERAGE(C13:C19,C21:C25)-AVERAGE(C26:C32,C34:C38),"-")</f>
        <v>-0.22025025672447107</v>
      </c>
      <c r="G13" s="12"/>
      <c r="H13" s="12"/>
      <c r="I13" s="12"/>
      <c r="J13" s="12"/>
      <c r="K13" s="12"/>
      <c r="L13" s="12"/>
    </row>
    <row r="14" spans="2:12" ht="15">
      <c r="B14" s="305" t="s">
        <v>210</v>
      </c>
      <c r="C14" s="387">
        <f>GETPIVOTDATA("dato",'[1]tabla dinámica EM'!$A$58,"categoría","TOTAL","mes",6,"año",2010)</f>
        <v>7.7320728954126166</v>
      </c>
      <c r="D14" s="411">
        <f t="shared" si="0"/>
        <v>0.54404702742387556</v>
      </c>
      <c r="E14" s="411">
        <f t="shared" si="1"/>
        <v>-0.25224997276931393</v>
      </c>
      <c r="F14" s="412">
        <f>IFERROR(AVERAGE(C14:C19,C21:C26)-AVERAGE(C27:C32,C34:C39),"-")</f>
        <v>-0.31410015970602778</v>
      </c>
      <c r="G14" s="12"/>
      <c r="H14" s="12"/>
      <c r="I14" s="12"/>
      <c r="J14" s="12"/>
      <c r="K14" s="12"/>
      <c r="L14" s="12"/>
    </row>
    <row r="15" spans="2:12" ht="15">
      <c r="B15" s="305" t="s">
        <v>211</v>
      </c>
      <c r="C15" s="387">
        <f>GETPIVOTDATA("dato",'[1]tabla dinámica EM'!$A$58,"categoría","TOTAL","mes",5,"año",2010)</f>
        <v>7.188025867988741</v>
      </c>
      <c r="D15" s="411">
        <f t="shared" si="0"/>
        <v>0.41149037559037804</v>
      </c>
      <c r="E15" s="411">
        <f t="shared" si="1"/>
        <v>-9.1974132011259258E-2</v>
      </c>
      <c r="F15" s="412">
        <f>IFERROR(AVERAGE(C15:C19,C21:C27)-AVERAGE(C28:C32,C34:C40),"-")</f>
        <v>-0.32021908962675738</v>
      </c>
      <c r="G15" s="12"/>
      <c r="H15" s="12"/>
      <c r="I15" s="12"/>
      <c r="J15" s="12"/>
      <c r="K15" s="12"/>
      <c r="L15" s="12"/>
    </row>
    <row r="16" spans="2:12" ht="15">
      <c r="B16" s="305" t="s">
        <v>212</v>
      </c>
      <c r="C16" s="387">
        <f>GETPIVOTDATA("dato",'[1]tabla dinámica EM'!$A$58,"categoría","TOTAL","mes",4,"año",2010)</f>
        <v>6.7765354923983629</v>
      </c>
      <c r="D16" s="411">
        <f>IFERROR(C16-C17,"-")</f>
        <v>-1.3346389619197048</v>
      </c>
      <c r="E16" s="411">
        <f t="shared" si="1"/>
        <v>-0.92277302976878062</v>
      </c>
      <c r="F16" s="412">
        <f>IFERROR(AVERAGE(C16:C19,C21:C28)-AVERAGE(C29:C32,C34:C41),"-")</f>
        <v>-0.35755457862581785</v>
      </c>
      <c r="G16" s="12"/>
      <c r="H16" s="12"/>
      <c r="I16" s="12"/>
      <c r="J16" s="12"/>
      <c r="K16" s="12"/>
      <c r="L16" s="12"/>
    </row>
    <row r="17" spans="2:12" ht="15">
      <c r="B17" s="305" t="s">
        <v>213</v>
      </c>
      <c r="C17" s="387">
        <f>GETPIVOTDATA("dato",'[1]tabla dinámica EM'!$A$58,"categoría","TOTAL","mes",3,"año",2010)</f>
        <v>8.1111744543180677</v>
      </c>
      <c r="D17" s="411">
        <f t="shared" si="0"/>
        <v>-0.5088255456819315</v>
      </c>
      <c r="E17" s="411">
        <f t="shared" si="1"/>
        <v>-0.45882554568193257</v>
      </c>
      <c r="F17" s="412">
        <f>IFERROR(AVERAGE(C17:C19,C21:C29)-AVERAGE(C30:C32,C34:C42),"-")</f>
        <v>-0.35154778263115638</v>
      </c>
      <c r="G17" s="12"/>
      <c r="I17" s="12"/>
      <c r="J17" s="12"/>
      <c r="K17" s="12"/>
      <c r="L17" s="12"/>
    </row>
    <row r="18" spans="2:12" ht="15">
      <c r="B18" s="305" t="s">
        <v>214</v>
      </c>
      <c r="C18" s="387">
        <f>GETPIVOTDATA("dato",'[1]tabla dinámica EM'!$A$58,"categoría","TOTAL","mes",2,"año",2010)</f>
        <v>8.6199999999999992</v>
      </c>
      <c r="D18" s="411">
        <f t="shared" si="0"/>
        <v>-0.22000000000000064</v>
      </c>
      <c r="E18" s="411">
        <f t="shared" si="1"/>
        <v>0.33000000000000007</v>
      </c>
      <c r="F18" s="412">
        <f>IFERROR(AVERAGE(C18:C19,C21:C30)-AVERAGE(C31:C32,C34:C43),"-")</f>
        <v>-0.2849789871576629</v>
      </c>
    </row>
    <row r="19" spans="2:12" ht="15">
      <c r="B19" s="305" t="s">
        <v>215</v>
      </c>
      <c r="C19" s="387">
        <f>GETPIVOTDATA("dato",'[1]tabla dinámica EM'!$A$58,"categoría","TOTAL","mes",1,"año",2010)</f>
        <v>8.84</v>
      </c>
      <c r="D19" s="411" t="s">
        <v>216</v>
      </c>
      <c r="E19" s="411">
        <f t="shared" si="1"/>
        <v>-0.27999999999999936</v>
      </c>
      <c r="F19" s="412">
        <f>IFERROR(AVERAGE(C19,C21:C31)-AVERAGE(C32,C34:C44),"-")</f>
        <v>-0.31331232049099711</v>
      </c>
    </row>
    <row r="20" spans="2:12" ht="24">
      <c r="B20" s="307" t="s">
        <v>54</v>
      </c>
      <c r="C20" s="389">
        <f>'[1]tabla dinámica municipios'!$U$298</f>
        <v>7.8662886756998951</v>
      </c>
      <c r="D20" s="341"/>
      <c r="E20" s="413">
        <f>'[1]tabla dinámica municipios'!$U$298-'[1]tabla dinámica municipios'!$K$298</f>
        <v>-0.28697118486819306</v>
      </c>
      <c r="F20" s="414" t="s">
        <v>216</v>
      </c>
    </row>
    <row r="21" spans="2:12" ht="15" hidden="1" outlineLevel="1">
      <c r="B21" s="305" t="s">
        <v>204</v>
      </c>
      <c r="C21" s="387">
        <f>GETPIVOTDATA("dato",'[1]tabla dinámica EM'!$A$58,"categoría","TOTAL","mes",12,"año",2009)</f>
        <v>8.4360997327235694</v>
      </c>
      <c r="D21" s="411">
        <f t="shared" si="0"/>
        <v>-0.27785750409340793</v>
      </c>
      <c r="E21" s="411">
        <f t="shared" si="1"/>
        <v>-0.21390026727643097</v>
      </c>
      <c r="F21" s="412">
        <f>IFERROR(AVERAGE(C21:C32)-AVERAGE(C34:C45),"-")</f>
        <v>-0.35164565382433111</v>
      </c>
    </row>
    <row r="22" spans="2:12" ht="15" hidden="1" outlineLevel="1">
      <c r="B22" s="305" t="s">
        <v>205</v>
      </c>
      <c r="C22" s="387">
        <f>GETPIVOTDATA("dato",'[1]tabla dinámica EM'!$A$58,"categoría","TOTAL","mes",11,"año",2009)</f>
        <v>8.7139572368169773</v>
      </c>
      <c r="D22" s="411">
        <f t="shared" si="0"/>
        <v>1.1573934425985648</v>
      </c>
      <c r="E22" s="411">
        <f t="shared" si="1"/>
        <v>0.2839572368169776</v>
      </c>
      <c r="F22" s="412">
        <f>IFERROR(AVERAGE(C22:C32,C34)-AVERAGE(C35:C45,C47),"-")</f>
        <v>-0.370487298217963</v>
      </c>
    </row>
    <row r="23" spans="2:12" ht="15" hidden="1" outlineLevel="1">
      <c r="B23" s="305" t="s">
        <v>206</v>
      </c>
      <c r="C23" s="387">
        <f>GETPIVOTDATA("dato",'[1]tabla dinámica EM'!$A$58,"categoría","TOTAL","mes",10,"año",2009)</f>
        <v>7.5565637942184125</v>
      </c>
      <c r="D23" s="411">
        <f t="shared" si="0"/>
        <v>-0.9334362057815877</v>
      </c>
      <c r="E23" s="411">
        <f t="shared" si="1"/>
        <v>-0.46343620578158706</v>
      </c>
      <c r="F23" s="412">
        <f>IFERROR(AVERAGE(C23:C32,C34:C35)-AVERAGE(C36:C45,C47:C48),"-")</f>
        <v>-0.38748373461937646</v>
      </c>
    </row>
    <row r="24" spans="2:12" ht="15" hidden="1" outlineLevel="1">
      <c r="B24" s="305" t="s">
        <v>207</v>
      </c>
      <c r="C24" s="387">
        <f>GETPIVOTDATA("dato",'[1]tabla dinámica EM'!$A$58,"categoría","TOTAL","mes",9,"año",2009)</f>
        <v>8.49</v>
      </c>
      <c r="D24" s="411">
        <f t="shared" si="0"/>
        <v>0.29000000000000092</v>
      </c>
      <c r="E24" s="411">
        <f t="shared" si="1"/>
        <v>-0.1899999999999995</v>
      </c>
      <c r="F24" s="412">
        <f>IFERROR(AVERAGE(C24:C32,C34:C36)-AVERAGE(C37:C45,C47:C49),"-")</f>
        <v>-0.35136405080424282</v>
      </c>
    </row>
    <row r="25" spans="2:12" ht="15" hidden="1" outlineLevel="1">
      <c r="B25" s="305" t="s">
        <v>208</v>
      </c>
      <c r="C25" s="387">
        <f>GETPIVOTDATA("dato",'[1]tabla dinámica EM'!$A$58,"categoría","TOTAL","mes",8,"año",2009)</f>
        <v>8.1999999999999993</v>
      </c>
      <c r="D25" s="411">
        <f t="shared" si="0"/>
        <v>0.12999999999999901</v>
      </c>
      <c r="E25" s="411">
        <f t="shared" si="1"/>
        <v>-0.3100000000000005</v>
      </c>
      <c r="F25" s="412">
        <f>IFERROR(AVERAGE(C25:C32,C34:C37)-AVERAGE(C38:C45,C47:C50),"-")</f>
        <v>-0.33969738413757788</v>
      </c>
    </row>
    <row r="26" spans="2:12" ht="15" hidden="1" outlineLevel="1">
      <c r="B26" s="305" t="s">
        <v>209</v>
      </c>
      <c r="C26" s="387">
        <f>GETPIVOTDATA("dato",'[1]tabla dinámica EM'!$A$58,"categoría","TOTAL","mes",7,"año",2009)</f>
        <v>8.07</v>
      </c>
      <c r="D26" s="411">
        <f t="shared" si="0"/>
        <v>8.5677131818069796E-2</v>
      </c>
      <c r="E26" s="411">
        <f t="shared" si="1"/>
        <v>-1.1999999999999993</v>
      </c>
      <c r="F26" s="412">
        <f>IFERROR(AVERAGE(C26:C32,C34:C38)-AVERAGE(C39:C45,C47:C51),"-")</f>
        <v>-0.33969738413757611</v>
      </c>
    </row>
    <row r="27" spans="2:12" ht="15" hidden="1" outlineLevel="1">
      <c r="B27" s="305" t="s">
        <v>210</v>
      </c>
      <c r="C27" s="387">
        <f>GETPIVOTDATA("dato",'[1]tabla dinámica EM'!$A$58,"categoría","TOTAL","mes",6,"año",2009)</f>
        <v>7.9843228681819305</v>
      </c>
      <c r="D27" s="411">
        <f t="shared" si="0"/>
        <v>0.70432286818193024</v>
      </c>
      <c r="E27" s="411">
        <f t="shared" si="1"/>
        <v>-0.32567713181807001</v>
      </c>
      <c r="F27" s="412">
        <f>IFERROR(AVERAGE(C27:C32,C34:C39)-AVERAGE(C40:C45,C47:C52),"-")</f>
        <v>-0.20136405080424602</v>
      </c>
    </row>
    <row r="28" spans="2:12" ht="15" hidden="1" outlineLevel="1">
      <c r="B28" s="305" t="s">
        <v>211</v>
      </c>
      <c r="C28" s="387">
        <f>GETPIVOTDATA("dato",'[1]tabla dinámica EM'!$A$58,"categoría","TOTAL","mes",5,"año",2009)</f>
        <v>7.28</v>
      </c>
      <c r="D28" s="411">
        <f t="shared" si="0"/>
        <v>-0.41930852216714332</v>
      </c>
      <c r="E28" s="411">
        <f t="shared" si="1"/>
        <v>-0.54</v>
      </c>
      <c r="F28" s="412">
        <f>IFERROR(AVERAGE(C28:C32,C34:C40)-AVERAGE(C41:C45,C47:C53),"-")</f>
        <v>-0.11505762315273849</v>
      </c>
    </row>
    <row r="29" spans="2:12" ht="15" hidden="1" outlineLevel="1">
      <c r="B29" s="305" t="s">
        <v>212</v>
      </c>
      <c r="C29" s="387">
        <f>GETPIVOTDATA("dato",'[1]tabla dinámica EM'!$A$58,"categoría","TOTAL","mes",4,"año",2009)</f>
        <v>7.6993085221671436</v>
      </c>
      <c r="D29" s="411">
        <f>IFERROR(C29-C30,"-")</f>
        <v>-0.87069147783285672</v>
      </c>
      <c r="E29" s="411">
        <f t="shared" si="1"/>
        <v>-0.85069147783285715</v>
      </c>
      <c r="F29" s="412">
        <f>IFERROR(AVERAGE(C29:C32,C34:C41)-AVERAGE(C42:C45,C47:C54),"-")</f>
        <v>-0.14005762315273884</v>
      </c>
    </row>
    <row r="30" spans="2:12" ht="15" hidden="1" outlineLevel="1">
      <c r="B30" s="305" t="s">
        <v>213</v>
      </c>
      <c r="C30" s="387">
        <f>GETPIVOTDATA("dato",'[1]tabla dinámica EM'!$A$58,"categoría","TOTAL","mes",3,"año",2009)</f>
        <v>8.57</v>
      </c>
      <c r="D30" s="411">
        <f t="shared" si="0"/>
        <v>0.28000000000000114</v>
      </c>
      <c r="E30" s="411">
        <f t="shared" si="1"/>
        <v>0.33999999999999986</v>
      </c>
      <c r="F30" s="412">
        <f>IFERROR(AVERAGE(C30:C32,C34:C42)-AVERAGE(C43:C45,C47:C55),"-")</f>
        <v>-2.833333333333421E-2</v>
      </c>
    </row>
    <row r="31" spans="2:12" ht="15" hidden="1" outlineLevel="1">
      <c r="B31" s="305" t="s">
        <v>214</v>
      </c>
      <c r="C31" s="387">
        <f>GETPIVOTDATA("dato",'[1]tabla dinámica EM'!$A$58,"categoría","TOTAL","mes",2,"año",2009)</f>
        <v>8.2899999999999991</v>
      </c>
      <c r="D31" s="411">
        <f t="shared" si="0"/>
        <v>-0.83000000000000007</v>
      </c>
      <c r="E31" s="411">
        <f t="shared" si="1"/>
        <v>-1.0000000000001563E-2</v>
      </c>
      <c r="F31" s="412">
        <f>IFERROR(AVERAGE(C31:C32,C34:C43)-AVERAGE(C44:C45,C47:C56),"-")</f>
        <v>-4.8333333333332007E-2</v>
      </c>
    </row>
    <row r="32" spans="2:12" ht="15" hidden="1" outlineLevel="1">
      <c r="B32" s="305" t="s">
        <v>215</v>
      </c>
      <c r="C32" s="387">
        <f>GETPIVOTDATA("dato",'[1]tabla dinámica EM'!$A$58,"categoría","TOTAL","mes",1,"año",2009)</f>
        <v>9.1199999999999992</v>
      </c>
      <c r="D32" s="411" t="s">
        <v>216</v>
      </c>
      <c r="E32" s="411">
        <f t="shared" si="1"/>
        <v>-0.74000000000000021</v>
      </c>
      <c r="F32" s="412">
        <f>IFERROR(AVERAGE(C32,C34:C44)-AVERAGE(C45,C47:C57),"-")</f>
        <v>-6.5000000000001279E-2</v>
      </c>
    </row>
    <row r="33" spans="2:6" ht="15" collapsed="1">
      <c r="B33" s="310">
        <v>2009</v>
      </c>
      <c r="C33" s="391">
        <f>'[1]tabla dinámica EM'!E347</f>
        <v>8.1984413876998072</v>
      </c>
      <c r="D33" s="311"/>
      <c r="E33" s="415">
        <f t="shared" si="1"/>
        <v>-0.34171515979331701</v>
      </c>
      <c r="F33" s="415">
        <f>IFERROR(AVERAGE(C21:C32)-AVERAGE(C34:C45),"-")</f>
        <v>-0.35164565382433111</v>
      </c>
    </row>
    <row r="34" spans="2:6" ht="15" hidden="1" outlineLevel="1">
      <c r="B34" s="305" t="s">
        <v>204</v>
      </c>
      <c r="C34" s="387">
        <f>GETPIVOTDATA("dato",'[1]tabla dinámica EM'!$A$58,"categoría","TOTAL","mes",12,"año",2008)</f>
        <v>8.65</v>
      </c>
      <c r="D34" s="411">
        <f t="shared" ref="D34:D44" si="2">IFERROR(C34-C35,"-")</f>
        <v>0.22000000000000064</v>
      </c>
      <c r="E34" s="411">
        <f t="shared" si="1"/>
        <v>-0.4399999999999995</v>
      </c>
      <c r="F34" s="412">
        <f>IFERROR(AVERAGE(C34:C45)-AVERAGE(C47:C58),"-")</f>
        <v>1.8333333333334423E-2</v>
      </c>
    </row>
    <row r="35" spans="2:6" ht="15" hidden="1" outlineLevel="1">
      <c r="B35" s="305" t="s">
        <v>205</v>
      </c>
      <c r="C35" s="387">
        <f>GETPIVOTDATA("dato",'[1]tabla dinámica EM'!$A$58,"categoría","TOTAL","mes",11,"año",2008)</f>
        <v>8.43</v>
      </c>
      <c r="D35" s="411">
        <f t="shared" si="2"/>
        <v>0.41000000000000014</v>
      </c>
      <c r="E35" s="411">
        <f t="shared" si="1"/>
        <v>8.0000000000000071E-2</v>
      </c>
      <c r="F35" s="412">
        <f>IFERROR(AVERAGE(C35:C45,C47)-AVERAGE(C48:C58,C60),"-")</f>
        <v>0.12916666666666643</v>
      </c>
    </row>
    <row r="36" spans="2:6" ht="15" hidden="1" outlineLevel="1">
      <c r="B36" s="305" t="s">
        <v>206</v>
      </c>
      <c r="C36" s="387">
        <f>GETPIVOTDATA("dato",'[1]tabla dinámica EM'!$A$58,"categoría","TOTAL","mes",10,"año",2008)</f>
        <v>8.02</v>
      </c>
      <c r="D36" s="411">
        <f t="shared" si="2"/>
        <v>-0.66000000000000014</v>
      </c>
      <c r="E36" s="411">
        <f t="shared" si="1"/>
        <v>-3.0000000000001137E-2</v>
      </c>
      <c r="F36" s="412">
        <f>IFERROR(AVERAGE(C36:C45,C47:C48)-AVERAGE(C49:C58,C60:C61),"-")</f>
        <v>9.3333333333333712E-2</v>
      </c>
    </row>
    <row r="37" spans="2:6" ht="15" hidden="1" outlineLevel="1">
      <c r="B37" s="305" t="s">
        <v>207</v>
      </c>
      <c r="C37" s="387">
        <f>GETPIVOTDATA("dato",'[1]tabla dinámica EM'!$A$58,"categoría","TOTAL","mes",9,"año",2008)</f>
        <v>8.68</v>
      </c>
      <c r="D37" s="411">
        <f t="shared" si="2"/>
        <v>0.16999999999999993</v>
      </c>
      <c r="E37" s="411">
        <f t="shared" si="1"/>
        <v>-5.0000000000000711E-2</v>
      </c>
      <c r="F37" s="412">
        <f>IFERROR(AVERAGE(C37:C45,C47:C49)-AVERAGE(C50:C58,C60:C62),"-")</f>
        <v>0.10333333333333172</v>
      </c>
    </row>
    <row r="38" spans="2:6" ht="15" hidden="1" outlineLevel="1">
      <c r="B38" s="305" t="s">
        <v>208</v>
      </c>
      <c r="C38" s="387">
        <f>GETPIVOTDATA("dato",'[1]tabla dinámica EM'!$A$58,"categoría","TOTAL","mes",8,"año",2008)</f>
        <v>8.51</v>
      </c>
      <c r="D38" s="411">
        <f t="shared" si="2"/>
        <v>-0.75999999999999979</v>
      </c>
      <c r="E38" s="411">
        <f t="shared" si="1"/>
        <v>-0.3100000000000005</v>
      </c>
      <c r="F38" s="412">
        <f>IFERROR(AVERAGE(C38:C45,C47:C50)-AVERAGE(C51:C58,C60:C63),"-")</f>
        <v>0.16416666666666835</v>
      </c>
    </row>
    <row r="39" spans="2:6" ht="15" hidden="1" outlineLevel="1">
      <c r="B39" s="305" t="s">
        <v>209</v>
      </c>
      <c r="C39" s="387">
        <f>GETPIVOTDATA("dato",'[1]tabla dinámica EM'!$A$58,"categoría","TOTAL","mes",7,"año",2008)</f>
        <v>9.27</v>
      </c>
      <c r="D39" s="411">
        <f t="shared" si="2"/>
        <v>0.95999999999999908</v>
      </c>
      <c r="E39" s="411">
        <f t="shared" si="1"/>
        <v>0.45999999999999908</v>
      </c>
      <c r="F39" s="412">
        <f>IFERROR(AVERAGE(C39:C45,C47:C51)-AVERAGE(C52:C58,C60:C64),"-")</f>
        <v>0.13166666666666771</v>
      </c>
    </row>
    <row r="40" spans="2:6" ht="15" hidden="1" outlineLevel="1">
      <c r="B40" s="305" t="s">
        <v>210</v>
      </c>
      <c r="C40" s="387">
        <f>GETPIVOTDATA("dato",'[1]tabla dinámica EM'!$A$58,"categoría","TOTAL","mes",6,"año",2008)</f>
        <v>8.31</v>
      </c>
      <c r="D40" s="411">
        <f t="shared" si="2"/>
        <v>0.49000000000000021</v>
      </c>
      <c r="E40" s="411">
        <f t="shared" si="1"/>
        <v>0.71000000000000085</v>
      </c>
      <c r="F40" s="412">
        <f>IFERROR(AVERAGE(C40:C45,C47:C52)-AVERAGE(C53:C58,C60:C65),"-")</f>
        <v>7.0000000000002061E-2</v>
      </c>
    </row>
    <row r="41" spans="2:6" ht="15" hidden="1" outlineLevel="1">
      <c r="B41" s="305" t="s">
        <v>211</v>
      </c>
      <c r="C41" s="387">
        <f>GETPIVOTDATA("dato",'[1]tabla dinámica EM'!$A$58,"categoría","TOTAL","mes",5,"año",2008)</f>
        <v>7.82</v>
      </c>
      <c r="D41" s="411">
        <f t="shared" si="2"/>
        <v>-0.73000000000000043</v>
      </c>
      <c r="E41" s="411">
        <f t="shared" si="1"/>
        <v>-0.83999999999999986</v>
      </c>
      <c r="F41" s="412">
        <f>IFERROR(AVERAGE(C41:C45,C47:C53)-AVERAGE(C54:C58,C60:C66),"-")</f>
        <v>-1.8333333333332646E-2</v>
      </c>
    </row>
    <row r="42" spans="2:6" ht="15" hidden="1" outlineLevel="1">
      <c r="B42" s="305" t="s">
        <v>212</v>
      </c>
      <c r="C42" s="387">
        <f>GETPIVOTDATA("dato",'[1]tabla dinámica EM'!$A$58,"categoría","TOTAL","mes",4,"año",2008)</f>
        <v>8.5500000000000007</v>
      </c>
      <c r="D42" s="411">
        <f>IFERROR(C42-C43,"-")</f>
        <v>0.32000000000000028</v>
      </c>
      <c r="E42" s="411">
        <f t="shared" si="1"/>
        <v>0.49000000000000021</v>
      </c>
      <c r="F42" s="412">
        <f>IFERROR(AVERAGE(C42:C45,C47:C54)-AVERAGE(C55:C58,C60:C67),"-")</f>
        <v>6.1666666666667425E-2</v>
      </c>
    </row>
    <row r="43" spans="2:6" ht="15" hidden="1" outlineLevel="1">
      <c r="B43" s="305" t="s">
        <v>213</v>
      </c>
      <c r="C43" s="387">
        <f>GETPIVOTDATA("dato",'[1]tabla dinámica EM'!$A$58,"categoría","TOTAL","mes",3,"año",2008)</f>
        <v>8.23</v>
      </c>
      <c r="D43" s="411">
        <f t="shared" si="2"/>
        <v>-7.0000000000000284E-2</v>
      </c>
      <c r="E43" s="411">
        <f t="shared" si="1"/>
        <v>9.9999999999999645E-2</v>
      </c>
      <c r="F43" s="412">
        <f>IFERROR(AVERAGE(C43:C45,C47:C55)-AVERAGE(C56:C58,C60:C68),"-")</f>
        <v>1.9166666666666998E-2</v>
      </c>
    </row>
    <row r="44" spans="2:6" ht="15" hidden="1" outlineLevel="1">
      <c r="B44" s="305" t="s">
        <v>214</v>
      </c>
      <c r="C44" s="387">
        <f>GETPIVOTDATA("dato",'[1]tabla dinámica EM'!$A$58,"categoría","TOTAL","mes",2,"año",2008)</f>
        <v>8.3000000000000007</v>
      </c>
      <c r="D44" s="411">
        <f t="shared" si="2"/>
        <v>-1.5599999999999987</v>
      </c>
      <c r="E44" s="411">
        <f t="shared" si="1"/>
        <v>-0.20999999999999908</v>
      </c>
      <c r="F44" s="412">
        <f>IFERROR(AVERAGE(C44:C45,C47:C56)-AVERAGE(C57:C58,C60:C69),"-")</f>
        <v>-2.6666666666667282E-2</v>
      </c>
    </row>
    <row r="45" spans="2:6" ht="15" hidden="1" outlineLevel="1">
      <c r="B45" s="305" t="s">
        <v>215</v>
      </c>
      <c r="C45" s="387">
        <f>GETPIVOTDATA("dato",'[1]tabla dinámica EM'!$A$58,"categoría","TOTAL","mes",1,"año",2008)</f>
        <v>9.86</v>
      </c>
      <c r="D45" s="411" t="s">
        <v>216</v>
      </c>
      <c r="E45" s="411">
        <f t="shared" si="1"/>
        <v>0.25999999999999979</v>
      </c>
      <c r="F45" s="412">
        <f>IFERROR(AVERAGE(C45,C47:C57)-AVERAGE(C58,C60:C70),"-")</f>
        <v>-3.1666666666664511E-2</v>
      </c>
    </row>
    <row r="46" spans="2:6" ht="15" collapsed="1">
      <c r="B46" s="312">
        <v>2008</v>
      </c>
      <c r="C46" s="393">
        <f>'[1]tabla dinámica EM'!D347</f>
        <v>8.5401565474931243</v>
      </c>
      <c r="D46" s="314"/>
      <c r="E46" s="416">
        <f t="shared" si="1"/>
        <v>1.6909883088906952E-2</v>
      </c>
      <c r="F46" s="416">
        <f>IFERROR(AVERAGE(C34:C45)-AVERAGE(C47:C58),"-")</f>
        <v>1.8333333333334423E-2</v>
      </c>
    </row>
    <row r="47" spans="2:6" ht="15" hidden="1" outlineLevel="1">
      <c r="B47" s="305" t="s">
        <v>204</v>
      </c>
      <c r="C47" s="387">
        <f>GETPIVOTDATA("dato",'[1]tabla dinámica EM'!$A$58,"categoría","TOTAL","mes",12,"año",2007)</f>
        <v>9.09</v>
      </c>
      <c r="D47" s="411">
        <f t="shared" ref="D47:D57" si="3">IFERROR(C47-C48,"-")</f>
        <v>0.74000000000000021</v>
      </c>
      <c r="E47" s="411">
        <f t="shared" si="1"/>
        <v>0.89000000000000057</v>
      </c>
      <c r="F47" s="412">
        <f>IFERROR(AVERAGE(C47:C58)-AVERAGE(C60:C71),"-")</f>
        <v>-5.2500000000000213E-2</v>
      </c>
    </row>
    <row r="48" spans="2:6" ht="15" hidden="1" outlineLevel="1">
      <c r="B48" s="305" t="s">
        <v>205</v>
      </c>
      <c r="C48" s="387">
        <f>GETPIVOTDATA("dato",'[1]tabla dinámica EM'!$A$58,"categoría","TOTAL","mes",11,"año",2007)</f>
        <v>8.35</v>
      </c>
      <c r="D48" s="411">
        <f t="shared" si="3"/>
        <v>0.29999999999999893</v>
      </c>
      <c r="E48" s="411">
        <f t="shared" si="1"/>
        <v>-0.34999999999999964</v>
      </c>
      <c r="F48" s="412" t="str">
        <f>IFERROR(AVERAGE(C48:C58,C60)-AVERAGE(C61:C71,#REF!),"-")</f>
        <v>-</v>
      </c>
    </row>
    <row r="49" spans="2:6" ht="15" hidden="1" outlineLevel="1">
      <c r="B49" s="305" t="s">
        <v>206</v>
      </c>
      <c r="C49" s="387">
        <f>GETPIVOTDATA("dato",'[1]tabla dinámica EM'!$A$58,"categoría","TOTAL","mes",10,"año",2007)</f>
        <v>8.0500000000000007</v>
      </c>
      <c r="D49" s="411">
        <f t="shared" si="3"/>
        <v>-0.67999999999999972</v>
      </c>
      <c r="E49" s="411">
        <f t="shared" si="1"/>
        <v>9.0000000000000746E-2</v>
      </c>
      <c r="F49" s="412" t="str">
        <f>IFERROR(AVERAGE(C49:C58,C60:C61)-AVERAGE(C62:C71,#REF!),"-")</f>
        <v>-</v>
      </c>
    </row>
    <row r="50" spans="2:6" ht="15" hidden="1" outlineLevel="1">
      <c r="B50" s="305" t="s">
        <v>207</v>
      </c>
      <c r="C50" s="387">
        <f>GETPIVOTDATA("dato",'[1]tabla dinámica EM'!$A$58,"categoría","TOTAL","mes",9,"año",2007)</f>
        <v>8.73</v>
      </c>
      <c r="D50" s="411">
        <f t="shared" si="3"/>
        <v>-8.9999999999999858E-2</v>
      </c>
      <c r="E50" s="411">
        <f t="shared" si="1"/>
        <v>0.67999999999999972</v>
      </c>
      <c r="F50" s="412" t="str">
        <f>IFERROR(AVERAGE(C50:C58,C60:C62)-AVERAGE(C63:C71,#REF!),"-")</f>
        <v>-</v>
      </c>
    </row>
    <row r="51" spans="2:6" ht="15" hidden="1" outlineLevel="1">
      <c r="B51" s="305" t="s">
        <v>208</v>
      </c>
      <c r="C51" s="387">
        <f>GETPIVOTDATA("dato",'[1]tabla dinámica EM'!$A$58,"categoría","TOTAL","mes",8,"año",2007)</f>
        <v>8.82</v>
      </c>
      <c r="D51" s="411">
        <f t="shared" si="3"/>
        <v>9.9999999999997868E-3</v>
      </c>
      <c r="E51" s="411">
        <f t="shared" si="1"/>
        <v>-0.69999999999999929</v>
      </c>
      <c r="F51" s="412" t="str">
        <f>IFERROR(AVERAGE(C51:C58,C60:C63)-AVERAGE(C64:C71,#REF!),"-")</f>
        <v>-</v>
      </c>
    </row>
    <row r="52" spans="2:6" ht="15" hidden="1" outlineLevel="1">
      <c r="B52" s="305" t="s">
        <v>209</v>
      </c>
      <c r="C52" s="387">
        <f>GETPIVOTDATA("dato",'[1]tabla dinámica EM'!$A$58,"categoría","TOTAL","mes",7,"año",2007)</f>
        <v>8.81</v>
      </c>
      <c r="D52" s="411">
        <f t="shared" si="3"/>
        <v>1.2100000000000009</v>
      </c>
      <c r="E52" s="411">
        <f t="shared" si="1"/>
        <v>-0.27999999999999936</v>
      </c>
      <c r="F52" s="412" t="str">
        <f>IFERROR(AVERAGE(C52:C58,C60:C64)-AVERAGE(C65:C71,#REF!),"-")</f>
        <v>-</v>
      </c>
    </row>
    <row r="53" spans="2:6" ht="15" hidden="1" outlineLevel="1">
      <c r="B53" s="305" t="s">
        <v>210</v>
      </c>
      <c r="C53" s="387">
        <f>GETPIVOTDATA("dato",'[1]tabla dinámica EM'!$A$58,"categoría","TOTAL","mes",6,"año",2007)</f>
        <v>7.6</v>
      </c>
      <c r="D53" s="411">
        <f t="shared" si="3"/>
        <v>-1.0600000000000005</v>
      </c>
      <c r="E53" s="411">
        <f t="shared" si="1"/>
        <v>-0.35000000000000053</v>
      </c>
      <c r="F53" s="412" t="str">
        <f>IFERROR(AVERAGE(C53:C58,C60:C65)-AVERAGE(C66:C71,#REF!),"-")</f>
        <v>-</v>
      </c>
    </row>
    <row r="54" spans="2:6" ht="15" hidden="1" outlineLevel="1">
      <c r="B54" s="305" t="s">
        <v>211</v>
      </c>
      <c r="C54" s="387">
        <f>GETPIVOTDATA("dato",'[1]tabla dinámica EM'!$A$58,"categoría","TOTAL","mes",5,"año",2007)</f>
        <v>8.66</v>
      </c>
      <c r="D54" s="411">
        <f t="shared" si="3"/>
        <v>0.59999999999999964</v>
      </c>
      <c r="E54" s="411">
        <f t="shared" si="1"/>
        <v>0.12000000000000099</v>
      </c>
      <c r="F54" s="412" t="str">
        <f>IFERROR(AVERAGE(C54:C58,C60:C66)-AVERAGE(C67:C71,#REF!),"-")</f>
        <v>-</v>
      </c>
    </row>
    <row r="55" spans="2:6" ht="15" hidden="1" outlineLevel="1">
      <c r="B55" s="305" t="s">
        <v>212</v>
      </c>
      <c r="C55" s="387">
        <f>GETPIVOTDATA("dato",'[1]tabla dinámica EM'!$A$58,"categoría","TOTAL","mes",4,"año",2007)</f>
        <v>8.06</v>
      </c>
      <c r="D55" s="411">
        <f>IFERROR(C55-C56,"-")</f>
        <v>-7.0000000000000284E-2</v>
      </c>
      <c r="E55" s="411">
        <f t="shared" si="1"/>
        <v>-1.9999999999999574E-2</v>
      </c>
      <c r="F55" s="412" t="str">
        <f>IFERROR(AVERAGE(C55:C58,C60:C67)-AVERAGE(C68:C71,#REF!),"-")</f>
        <v>-</v>
      </c>
    </row>
    <row r="56" spans="2:6" ht="15" hidden="1" outlineLevel="1">
      <c r="B56" s="305" t="s">
        <v>213</v>
      </c>
      <c r="C56" s="387">
        <f>GETPIVOTDATA("dato",'[1]tabla dinámica EM'!$A$58,"categoría","TOTAL","mes",3,"año",2007)</f>
        <v>8.1300000000000008</v>
      </c>
      <c r="D56" s="411">
        <f t="shared" si="3"/>
        <v>-0.37999999999999901</v>
      </c>
      <c r="E56" s="411">
        <f t="shared" si="1"/>
        <v>-0.44999999999999929</v>
      </c>
      <c r="F56" s="412" t="str">
        <f>IFERROR(AVERAGE(C56:C58,C60:C68)-AVERAGE(C69:C71,#REF!),"-")</f>
        <v>-</v>
      </c>
    </row>
    <row r="57" spans="2:6" ht="15" hidden="1" outlineLevel="1">
      <c r="B57" s="305" t="s">
        <v>214</v>
      </c>
      <c r="C57" s="387">
        <f>GETPIVOTDATA("dato",'[1]tabla dinámica EM'!$A$58,"categoría","TOTAL","mes",2,"año",2007)</f>
        <v>8.51</v>
      </c>
      <c r="D57" s="411">
        <f t="shared" si="3"/>
        <v>-1.0899999999999999</v>
      </c>
      <c r="E57" s="411">
        <f t="shared" si="1"/>
        <v>-0.26999999999999957</v>
      </c>
      <c r="F57" s="412" t="str">
        <f>IFERROR(AVERAGE(C57:C58,C60:C69)-AVERAGE(C70:C71,#REF!),"-")</f>
        <v>-</v>
      </c>
    </row>
    <row r="58" spans="2:6" ht="15" hidden="1" outlineLevel="1">
      <c r="B58" s="305" t="s">
        <v>215</v>
      </c>
      <c r="C58" s="387">
        <f>GETPIVOTDATA("dato",'[1]tabla dinámica EM'!$A$58,"categoría","TOTAL","mes",1,"año",2007)</f>
        <v>9.6</v>
      </c>
      <c r="D58" s="411" t="s">
        <v>216</v>
      </c>
      <c r="E58" s="411">
        <f t="shared" si="1"/>
        <v>9.9999999999997868E-3</v>
      </c>
      <c r="F58" s="412" t="str">
        <f>IFERROR(AVERAGE(C58,C60:C70)-AVERAGE(C71,#REF!),"-")</f>
        <v>-</v>
      </c>
    </row>
    <row r="59" spans="2:6" ht="15" collapsed="1">
      <c r="B59" s="312">
        <v>2007</v>
      </c>
      <c r="C59" s="393">
        <f>'[1]tabla dinámica EM'!C347</f>
        <v>8.5232466644042173</v>
      </c>
      <c r="D59" s="314"/>
      <c r="E59" s="416">
        <f t="shared" si="1"/>
        <v>-6.3904544111387906E-2</v>
      </c>
      <c r="F59" s="416">
        <f>IFERROR(AVERAGE(C47:C58)-AVERAGE(C60:C71),"-")</f>
        <v>-5.2500000000000213E-2</v>
      </c>
    </row>
    <row r="60" spans="2:6" ht="15" hidden="1" outlineLevel="1">
      <c r="B60" s="305" t="s">
        <v>204</v>
      </c>
      <c r="C60" s="387">
        <f>GETPIVOTDATA("dato",'[1]tabla dinámica EM'!$A$58,"categoría","TOTAL","mes",12,"año",2006)</f>
        <v>8.1999999999999993</v>
      </c>
      <c r="D60" s="411">
        <f t="shared" ref="D60:D70" si="4">IFERROR(C60-C61,"-")</f>
        <v>-0.5</v>
      </c>
      <c r="E60" s="411" t="str">
        <f>IFERROR(C60-#REF!,"-")</f>
        <v>-</v>
      </c>
      <c r="F60" s="412" t="str">
        <f>IFERROR(AVERAGE(C60:C71)-AVERAGE(#REF!),"-")</f>
        <v>-</v>
      </c>
    </row>
    <row r="61" spans="2:6" ht="15" hidden="1" outlineLevel="1">
      <c r="B61" s="305" t="s">
        <v>205</v>
      </c>
      <c r="C61" s="387">
        <f>GETPIVOTDATA("dato",'[1]tabla dinámica EM'!$A$58,"categoría","TOTAL","mes",11,"año",2006)</f>
        <v>8.6999999999999993</v>
      </c>
      <c r="D61" s="411">
        <f t="shared" si="4"/>
        <v>0.73999999999999932</v>
      </c>
      <c r="E61" s="411" t="str">
        <f>IFERROR(C61-#REF!,"-")</f>
        <v>-</v>
      </c>
      <c r="F61" s="412" t="str">
        <f>IFERROR(AVERAGE(C61:C71,#REF!)-AVERAGE(#REF!,#REF!),"-")</f>
        <v>-</v>
      </c>
    </row>
    <row r="62" spans="2:6" ht="15" hidden="1" outlineLevel="1">
      <c r="B62" s="305" t="s">
        <v>206</v>
      </c>
      <c r="C62" s="387">
        <f>GETPIVOTDATA("dato",'[1]tabla dinámica EM'!$A$58,"categoría","TOTAL","mes",10,"año",2006)</f>
        <v>7.96</v>
      </c>
      <c r="D62" s="411">
        <f t="shared" si="4"/>
        <v>-9.0000000000000746E-2</v>
      </c>
      <c r="E62" s="411" t="str">
        <f>IFERROR(C62-#REF!,"-")</f>
        <v>-</v>
      </c>
      <c r="F62" s="412" t="str">
        <f>IFERROR(AVERAGE(C62:C71,#REF!)-AVERAGE(#REF!,#REF!),"-")</f>
        <v>-</v>
      </c>
    </row>
    <row r="63" spans="2:6" ht="15" hidden="1" outlineLevel="1">
      <c r="B63" s="305" t="s">
        <v>207</v>
      </c>
      <c r="C63" s="387">
        <f>GETPIVOTDATA("dato",'[1]tabla dinámica EM'!$A$58,"categoría","TOTAL","mes",9,"año",2006)</f>
        <v>8.0500000000000007</v>
      </c>
      <c r="D63" s="411">
        <f t="shared" si="4"/>
        <v>-1.4699999999999989</v>
      </c>
      <c r="E63" s="411" t="str">
        <f>IFERROR(C63-#REF!,"-")</f>
        <v>-</v>
      </c>
      <c r="F63" s="412" t="str">
        <f>IFERROR(AVERAGE(C63:C71,#REF!)-AVERAGE(#REF!,#REF!),"-")</f>
        <v>-</v>
      </c>
    </row>
    <row r="64" spans="2:6" ht="15" hidden="1" outlineLevel="1">
      <c r="B64" s="305" t="s">
        <v>208</v>
      </c>
      <c r="C64" s="387">
        <f>GETPIVOTDATA("dato",'[1]tabla dinámica EM'!$A$58,"categoría","TOTAL","mes",8,"año",2006)</f>
        <v>9.52</v>
      </c>
      <c r="D64" s="411">
        <f t="shared" si="4"/>
        <v>0.42999999999999972</v>
      </c>
      <c r="E64" s="411" t="str">
        <f>IFERROR(C64-#REF!,"-")</f>
        <v>-</v>
      </c>
      <c r="F64" s="412" t="str">
        <f>IFERROR(AVERAGE(C64:C71,#REF!)-AVERAGE(#REF!,#REF!),"-")</f>
        <v>-</v>
      </c>
    </row>
    <row r="65" spans="2:6" ht="15" hidden="1" outlineLevel="1">
      <c r="B65" s="305" t="s">
        <v>209</v>
      </c>
      <c r="C65" s="387">
        <f>GETPIVOTDATA("dato",'[1]tabla dinámica EM'!$A$58,"categoría","TOTAL","mes",7,"año",2006)</f>
        <v>9.09</v>
      </c>
      <c r="D65" s="411">
        <f t="shared" si="4"/>
        <v>1.1399999999999997</v>
      </c>
      <c r="E65" s="411" t="str">
        <f>IFERROR(C65-#REF!,"-")</f>
        <v>-</v>
      </c>
      <c r="F65" s="412" t="str">
        <f>IFERROR(AVERAGE(C65:C71,#REF!)-AVERAGE(#REF!,#REF!),"-")</f>
        <v>-</v>
      </c>
    </row>
    <row r="66" spans="2:6" ht="15" hidden="1" outlineLevel="1">
      <c r="B66" s="305" t="s">
        <v>210</v>
      </c>
      <c r="C66" s="387">
        <f>GETPIVOTDATA("dato",'[1]tabla dinámica EM'!$A$58,"categoría","TOTAL","mes",6,"año",2006)</f>
        <v>7.95</v>
      </c>
      <c r="D66" s="411">
        <f t="shared" si="4"/>
        <v>-0.58999999999999897</v>
      </c>
      <c r="E66" s="411" t="str">
        <f>IFERROR(C66-#REF!,"-")</f>
        <v>-</v>
      </c>
      <c r="F66" s="412" t="str">
        <f>IFERROR(AVERAGE(C66:C71,#REF!)-AVERAGE(#REF!,#REF!),"-")</f>
        <v>-</v>
      </c>
    </row>
    <row r="67" spans="2:6" ht="15" hidden="1" outlineLevel="1">
      <c r="B67" s="305" t="s">
        <v>211</v>
      </c>
      <c r="C67" s="387">
        <f>GETPIVOTDATA("dato",'[1]tabla dinámica EM'!$A$58,"categoría","TOTAL","mes",5,"año",2006)</f>
        <v>8.5399999999999991</v>
      </c>
      <c r="D67" s="411">
        <f t="shared" si="4"/>
        <v>0.45999999999999908</v>
      </c>
      <c r="E67" s="411" t="str">
        <f>IFERROR(C67-#REF!,"-")</f>
        <v>-</v>
      </c>
      <c r="F67" s="412" t="str">
        <f>IFERROR(AVERAGE(C67:C71,#REF!)-AVERAGE(#REF!,#REF!),"-")</f>
        <v>-</v>
      </c>
    </row>
    <row r="68" spans="2:6" ht="15" hidden="1" outlineLevel="1">
      <c r="B68" s="305" t="s">
        <v>212</v>
      </c>
      <c r="C68" s="387">
        <f>GETPIVOTDATA("dato",'[1]tabla dinámica EM'!$A$58,"categoría","TOTAL","mes",4,"año",2006)</f>
        <v>8.08</v>
      </c>
      <c r="D68" s="411">
        <f>IFERROR(C68-C69,"-")</f>
        <v>-0.5</v>
      </c>
      <c r="E68" s="411" t="str">
        <f>IFERROR(C68-#REF!,"-")</f>
        <v>-</v>
      </c>
      <c r="F68" s="412" t="str">
        <f>IFERROR(AVERAGE(C68:C71,#REF!)-AVERAGE(#REF!,#REF!),"-")</f>
        <v>-</v>
      </c>
    </row>
    <row r="69" spans="2:6" ht="15" hidden="1" outlineLevel="1">
      <c r="B69" s="305" t="s">
        <v>213</v>
      </c>
      <c r="C69" s="387">
        <f>GETPIVOTDATA("dato",'[1]tabla dinámica EM'!$A$58,"categoría","TOTAL","mes",3,"año",2006)</f>
        <v>8.58</v>
      </c>
      <c r="D69" s="411">
        <f t="shared" si="4"/>
        <v>-0.19999999999999929</v>
      </c>
      <c r="E69" s="411" t="str">
        <f>IFERROR(C69-#REF!,"-")</f>
        <v>-</v>
      </c>
      <c r="F69" s="412" t="str">
        <f>IFERROR(AVERAGE(C69:C71,#REF!)-AVERAGE(#REF!,#REF!),"-")</f>
        <v>-</v>
      </c>
    </row>
    <row r="70" spans="2:6" ht="15" hidden="1" outlineLevel="1">
      <c r="B70" s="305" t="s">
        <v>214</v>
      </c>
      <c r="C70" s="387">
        <f>GETPIVOTDATA("dato",'[1]tabla dinámica EM'!$A$58,"categoría","TOTAL","mes",2,"año",2006)</f>
        <v>8.7799999999999994</v>
      </c>
      <c r="D70" s="411">
        <f t="shared" si="4"/>
        <v>-0.8100000000000005</v>
      </c>
      <c r="E70" s="411" t="str">
        <f>IFERROR(C70-#REF!,"-")</f>
        <v>-</v>
      </c>
      <c r="F70" s="412" t="str">
        <f>IFERROR(AVERAGE(C70:C71,#REF!)-AVERAGE(#REF!,#REF!),"-")</f>
        <v>-</v>
      </c>
    </row>
    <row r="71" spans="2:6" ht="15" hidden="1" outlineLevel="1">
      <c r="B71" s="305" t="s">
        <v>215</v>
      </c>
      <c r="C71" s="387">
        <f>GETPIVOTDATA("dato",'[1]tabla dinámica EM'!$A$58,"categoría","TOTAL","mes",1,"año",2006)</f>
        <v>9.59</v>
      </c>
      <c r="D71" s="411" t="s">
        <v>216</v>
      </c>
      <c r="E71" s="411" t="str">
        <f>IFERROR(C71-#REF!,"-")</f>
        <v>-</v>
      </c>
      <c r="F71" s="412" t="str">
        <f>IFERROR(AVERAGE(C71,#REF!)-AVERAGE(#REF!,#REF!),"-")</f>
        <v>-</v>
      </c>
    </row>
    <row r="72" spans="2:6" ht="15" collapsed="1">
      <c r="B72" s="312">
        <v>2006</v>
      </c>
      <c r="C72" s="393">
        <f>'[1]tabla dinámica EM'!B347</f>
        <v>8.5871512085156052</v>
      </c>
      <c r="D72" s="314"/>
      <c r="E72" s="416" t="str">
        <f>IFERROR(C72-#REF!,"-")</f>
        <v>-</v>
      </c>
      <c r="F72" s="416" t="str">
        <f>IFERROR(AVERAGE(C60:C71)-AVERAGE(#REF!),"-")</f>
        <v>-</v>
      </c>
    </row>
    <row r="73" spans="2:6">
      <c r="B73" s="317" t="s">
        <v>217</v>
      </c>
      <c r="C73" s="318"/>
      <c r="D73" s="318"/>
      <c r="E73" s="318"/>
      <c r="F73" s="318"/>
    </row>
  </sheetData>
  <mergeCells count="2">
    <mergeCell ref="B6:F6"/>
    <mergeCell ref="B73:F73"/>
  </mergeCells>
  <hyperlinks>
    <hyperlink ref="H7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71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B25" sqref="B25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30" customHeight="1" thickBot="1">
      <c r="J29" s="60" t="s">
        <v>51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72.xml><?xml version="1.0" encoding="utf-8"?>
<worksheet xmlns="http://schemas.openxmlformats.org/spreadsheetml/2006/main" xmlns:r="http://schemas.openxmlformats.org/officeDocument/2006/relationships">
  <sheetPr codeName="Hoja8">
    <tabColor theme="4" tint="-0.499984740745262"/>
    <pageSetUpPr fitToPage="1"/>
  </sheetPr>
  <dimension ref="C8:J47"/>
  <sheetViews>
    <sheetView showGridLines="0" showRowColHeaders="0" zoomScaleNormal="100" workbookViewId="0">
      <selection activeCell="B25" sqref="B25"/>
    </sheetView>
  </sheetViews>
  <sheetFormatPr baseColWidth="10" defaultRowHeight="12.75"/>
  <cols>
    <col min="1" max="3" width="11.42578125" style="2"/>
    <col min="4" max="4" width="9.140625" style="2" customWidth="1"/>
    <col min="5" max="5" width="12" style="2" customWidth="1"/>
    <col min="6" max="6" width="43.5703125" style="2" customWidth="1"/>
    <col min="7" max="7" width="23" style="2" customWidth="1"/>
    <col min="8" max="259" width="11.42578125" style="2"/>
    <col min="260" max="260" width="9.140625" style="2" customWidth="1"/>
    <col min="261" max="261" width="12" style="2" customWidth="1"/>
    <col min="262" max="262" width="43.5703125" style="2" customWidth="1"/>
    <col min="263" max="515" width="11.42578125" style="2"/>
    <col min="516" max="516" width="9.140625" style="2" customWidth="1"/>
    <col min="517" max="517" width="12" style="2" customWidth="1"/>
    <col min="518" max="518" width="43.5703125" style="2" customWidth="1"/>
    <col min="519" max="771" width="11.42578125" style="2"/>
    <col min="772" max="772" width="9.140625" style="2" customWidth="1"/>
    <col min="773" max="773" width="12" style="2" customWidth="1"/>
    <col min="774" max="774" width="43.5703125" style="2" customWidth="1"/>
    <col min="775" max="1027" width="11.42578125" style="2"/>
    <col min="1028" max="1028" width="9.140625" style="2" customWidth="1"/>
    <col min="1029" max="1029" width="12" style="2" customWidth="1"/>
    <col min="1030" max="1030" width="43.5703125" style="2" customWidth="1"/>
    <col min="1031" max="1283" width="11.42578125" style="2"/>
    <col min="1284" max="1284" width="9.140625" style="2" customWidth="1"/>
    <col min="1285" max="1285" width="12" style="2" customWidth="1"/>
    <col min="1286" max="1286" width="43.5703125" style="2" customWidth="1"/>
    <col min="1287" max="1539" width="11.42578125" style="2"/>
    <col min="1540" max="1540" width="9.140625" style="2" customWidth="1"/>
    <col min="1541" max="1541" width="12" style="2" customWidth="1"/>
    <col min="1542" max="1542" width="43.5703125" style="2" customWidth="1"/>
    <col min="1543" max="1795" width="11.42578125" style="2"/>
    <col min="1796" max="1796" width="9.140625" style="2" customWidth="1"/>
    <col min="1797" max="1797" width="12" style="2" customWidth="1"/>
    <col min="1798" max="1798" width="43.5703125" style="2" customWidth="1"/>
    <col min="1799" max="2051" width="11.42578125" style="2"/>
    <col min="2052" max="2052" width="9.140625" style="2" customWidth="1"/>
    <col min="2053" max="2053" width="12" style="2" customWidth="1"/>
    <col min="2054" max="2054" width="43.5703125" style="2" customWidth="1"/>
    <col min="2055" max="2307" width="11.42578125" style="2"/>
    <col min="2308" max="2308" width="9.140625" style="2" customWidth="1"/>
    <col min="2309" max="2309" width="12" style="2" customWidth="1"/>
    <col min="2310" max="2310" width="43.5703125" style="2" customWidth="1"/>
    <col min="2311" max="2563" width="11.42578125" style="2"/>
    <col min="2564" max="2564" width="9.140625" style="2" customWidth="1"/>
    <col min="2565" max="2565" width="12" style="2" customWidth="1"/>
    <col min="2566" max="2566" width="43.5703125" style="2" customWidth="1"/>
    <col min="2567" max="2819" width="11.42578125" style="2"/>
    <col min="2820" max="2820" width="9.140625" style="2" customWidth="1"/>
    <col min="2821" max="2821" width="12" style="2" customWidth="1"/>
    <col min="2822" max="2822" width="43.5703125" style="2" customWidth="1"/>
    <col min="2823" max="3075" width="11.42578125" style="2"/>
    <col min="3076" max="3076" width="9.140625" style="2" customWidth="1"/>
    <col min="3077" max="3077" width="12" style="2" customWidth="1"/>
    <col min="3078" max="3078" width="43.5703125" style="2" customWidth="1"/>
    <col min="3079" max="3331" width="11.42578125" style="2"/>
    <col min="3332" max="3332" width="9.140625" style="2" customWidth="1"/>
    <col min="3333" max="3333" width="12" style="2" customWidth="1"/>
    <col min="3334" max="3334" width="43.5703125" style="2" customWidth="1"/>
    <col min="3335" max="3587" width="11.42578125" style="2"/>
    <col min="3588" max="3588" width="9.140625" style="2" customWidth="1"/>
    <col min="3589" max="3589" width="12" style="2" customWidth="1"/>
    <col min="3590" max="3590" width="43.5703125" style="2" customWidth="1"/>
    <col min="3591" max="3843" width="11.42578125" style="2"/>
    <col min="3844" max="3844" width="9.140625" style="2" customWidth="1"/>
    <col min="3845" max="3845" width="12" style="2" customWidth="1"/>
    <col min="3846" max="3846" width="43.5703125" style="2" customWidth="1"/>
    <col min="3847" max="4099" width="11.42578125" style="2"/>
    <col min="4100" max="4100" width="9.140625" style="2" customWidth="1"/>
    <col min="4101" max="4101" width="12" style="2" customWidth="1"/>
    <col min="4102" max="4102" width="43.5703125" style="2" customWidth="1"/>
    <col min="4103" max="4355" width="11.42578125" style="2"/>
    <col min="4356" max="4356" width="9.140625" style="2" customWidth="1"/>
    <col min="4357" max="4357" width="12" style="2" customWidth="1"/>
    <col min="4358" max="4358" width="43.5703125" style="2" customWidth="1"/>
    <col min="4359" max="4611" width="11.42578125" style="2"/>
    <col min="4612" max="4612" width="9.140625" style="2" customWidth="1"/>
    <col min="4613" max="4613" width="12" style="2" customWidth="1"/>
    <col min="4614" max="4614" width="43.5703125" style="2" customWidth="1"/>
    <col min="4615" max="4867" width="11.42578125" style="2"/>
    <col min="4868" max="4868" width="9.140625" style="2" customWidth="1"/>
    <col min="4869" max="4869" width="12" style="2" customWidth="1"/>
    <col min="4870" max="4870" width="43.5703125" style="2" customWidth="1"/>
    <col min="4871" max="5123" width="11.42578125" style="2"/>
    <col min="5124" max="5124" width="9.140625" style="2" customWidth="1"/>
    <col min="5125" max="5125" width="12" style="2" customWidth="1"/>
    <col min="5126" max="5126" width="43.5703125" style="2" customWidth="1"/>
    <col min="5127" max="5379" width="11.42578125" style="2"/>
    <col min="5380" max="5380" width="9.140625" style="2" customWidth="1"/>
    <col min="5381" max="5381" width="12" style="2" customWidth="1"/>
    <col min="5382" max="5382" width="43.5703125" style="2" customWidth="1"/>
    <col min="5383" max="5635" width="11.42578125" style="2"/>
    <col min="5636" max="5636" width="9.140625" style="2" customWidth="1"/>
    <col min="5637" max="5637" width="12" style="2" customWidth="1"/>
    <col min="5638" max="5638" width="43.5703125" style="2" customWidth="1"/>
    <col min="5639" max="5891" width="11.42578125" style="2"/>
    <col min="5892" max="5892" width="9.140625" style="2" customWidth="1"/>
    <col min="5893" max="5893" width="12" style="2" customWidth="1"/>
    <col min="5894" max="5894" width="43.5703125" style="2" customWidth="1"/>
    <col min="5895" max="6147" width="11.42578125" style="2"/>
    <col min="6148" max="6148" width="9.140625" style="2" customWidth="1"/>
    <col min="6149" max="6149" width="12" style="2" customWidth="1"/>
    <col min="6150" max="6150" width="43.5703125" style="2" customWidth="1"/>
    <col min="6151" max="6403" width="11.42578125" style="2"/>
    <col min="6404" max="6404" width="9.140625" style="2" customWidth="1"/>
    <col min="6405" max="6405" width="12" style="2" customWidth="1"/>
    <col min="6406" max="6406" width="43.5703125" style="2" customWidth="1"/>
    <col min="6407" max="6659" width="11.42578125" style="2"/>
    <col min="6660" max="6660" width="9.140625" style="2" customWidth="1"/>
    <col min="6661" max="6661" width="12" style="2" customWidth="1"/>
    <col min="6662" max="6662" width="43.5703125" style="2" customWidth="1"/>
    <col min="6663" max="6915" width="11.42578125" style="2"/>
    <col min="6916" max="6916" width="9.140625" style="2" customWidth="1"/>
    <col min="6917" max="6917" width="12" style="2" customWidth="1"/>
    <col min="6918" max="6918" width="43.5703125" style="2" customWidth="1"/>
    <col min="6919" max="7171" width="11.42578125" style="2"/>
    <col min="7172" max="7172" width="9.140625" style="2" customWidth="1"/>
    <col min="7173" max="7173" width="12" style="2" customWidth="1"/>
    <col min="7174" max="7174" width="43.5703125" style="2" customWidth="1"/>
    <col min="7175" max="7427" width="11.42578125" style="2"/>
    <col min="7428" max="7428" width="9.140625" style="2" customWidth="1"/>
    <col min="7429" max="7429" width="12" style="2" customWidth="1"/>
    <col min="7430" max="7430" width="43.5703125" style="2" customWidth="1"/>
    <col min="7431" max="7683" width="11.42578125" style="2"/>
    <col min="7684" max="7684" width="9.140625" style="2" customWidth="1"/>
    <col min="7685" max="7685" width="12" style="2" customWidth="1"/>
    <col min="7686" max="7686" width="43.5703125" style="2" customWidth="1"/>
    <col min="7687" max="7939" width="11.42578125" style="2"/>
    <col min="7940" max="7940" width="9.140625" style="2" customWidth="1"/>
    <col min="7941" max="7941" width="12" style="2" customWidth="1"/>
    <col min="7942" max="7942" width="43.5703125" style="2" customWidth="1"/>
    <col min="7943" max="8195" width="11.42578125" style="2"/>
    <col min="8196" max="8196" width="9.140625" style="2" customWidth="1"/>
    <col min="8197" max="8197" width="12" style="2" customWidth="1"/>
    <col min="8198" max="8198" width="43.5703125" style="2" customWidth="1"/>
    <col min="8199" max="8451" width="11.42578125" style="2"/>
    <col min="8452" max="8452" width="9.140625" style="2" customWidth="1"/>
    <col min="8453" max="8453" width="12" style="2" customWidth="1"/>
    <col min="8454" max="8454" width="43.5703125" style="2" customWidth="1"/>
    <col min="8455" max="8707" width="11.42578125" style="2"/>
    <col min="8708" max="8708" width="9.140625" style="2" customWidth="1"/>
    <col min="8709" max="8709" width="12" style="2" customWidth="1"/>
    <col min="8710" max="8710" width="43.5703125" style="2" customWidth="1"/>
    <col min="8711" max="8963" width="11.42578125" style="2"/>
    <col min="8964" max="8964" width="9.140625" style="2" customWidth="1"/>
    <col min="8965" max="8965" width="12" style="2" customWidth="1"/>
    <col min="8966" max="8966" width="43.5703125" style="2" customWidth="1"/>
    <col min="8967" max="9219" width="11.42578125" style="2"/>
    <col min="9220" max="9220" width="9.140625" style="2" customWidth="1"/>
    <col min="9221" max="9221" width="12" style="2" customWidth="1"/>
    <col min="9222" max="9222" width="43.5703125" style="2" customWidth="1"/>
    <col min="9223" max="9475" width="11.42578125" style="2"/>
    <col min="9476" max="9476" width="9.140625" style="2" customWidth="1"/>
    <col min="9477" max="9477" width="12" style="2" customWidth="1"/>
    <col min="9478" max="9478" width="43.5703125" style="2" customWidth="1"/>
    <col min="9479" max="9731" width="11.42578125" style="2"/>
    <col min="9732" max="9732" width="9.140625" style="2" customWidth="1"/>
    <col min="9733" max="9733" width="12" style="2" customWidth="1"/>
    <col min="9734" max="9734" width="43.5703125" style="2" customWidth="1"/>
    <col min="9735" max="9987" width="11.42578125" style="2"/>
    <col min="9988" max="9988" width="9.140625" style="2" customWidth="1"/>
    <col min="9989" max="9989" width="12" style="2" customWidth="1"/>
    <col min="9990" max="9990" width="43.5703125" style="2" customWidth="1"/>
    <col min="9991" max="10243" width="11.42578125" style="2"/>
    <col min="10244" max="10244" width="9.140625" style="2" customWidth="1"/>
    <col min="10245" max="10245" width="12" style="2" customWidth="1"/>
    <col min="10246" max="10246" width="43.5703125" style="2" customWidth="1"/>
    <col min="10247" max="10499" width="11.42578125" style="2"/>
    <col min="10500" max="10500" width="9.140625" style="2" customWidth="1"/>
    <col min="10501" max="10501" width="12" style="2" customWidth="1"/>
    <col min="10502" max="10502" width="43.5703125" style="2" customWidth="1"/>
    <col min="10503" max="10755" width="11.42578125" style="2"/>
    <col min="10756" max="10756" width="9.140625" style="2" customWidth="1"/>
    <col min="10757" max="10757" width="12" style="2" customWidth="1"/>
    <col min="10758" max="10758" width="43.5703125" style="2" customWidth="1"/>
    <col min="10759" max="11011" width="11.42578125" style="2"/>
    <col min="11012" max="11012" width="9.140625" style="2" customWidth="1"/>
    <col min="11013" max="11013" width="12" style="2" customWidth="1"/>
    <col min="11014" max="11014" width="43.5703125" style="2" customWidth="1"/>
    <col min="11015" max="11267" width="11.42578125" style="2"/>
    <col min="11268" max="11268" width="9.140625" style="2" customWidth="1"/>
    <col min="11269" max="11269" width="12" style="2" customWidth="1"/>
    <col min="11270" max="11270" width="43.5703125" style="2" customWidth="1"/>
    <col min="11271" max="11523" width="11.42578125" style="2"/>
    <col min="11524" max="11524" width="9.140625" style="2" customWidth="1"/>
    <col min="11525" max="11525" width="12" style="2" customWidth="1"/>
    <col min="11526" max="11526" width="43.5703125" style="2" customWidth="1"/>
    <col min="11527" max="11779" width="11.42578125" style="2"/>
    <col min="11780" max="11780" width="9.140625" style="2" customWidth="1"/>
    <col min="11781" max="11781" width="12" style="2" customWidth="1"/>
    <col min="11782" max="11782" width="43.5703125" style="2" customWidth="1"/>
    <col min="11783" max="12035" width="11.42578125" style="2"/>
    <col min="12036" max="12036" width="9.140625" style="2" customWidth="1"/>
    <col min="12037" max="12037" width="12" style="2" customWidth="1"/>
    <col min="12038" max="12038" width="43.5703125" style="2" customWidth="1"/>
    <col min="12039" max="12291" width="11.42578125" style="2"/>
    <col min="12292" max="12292" width="9.140625" style="2" customWidth="1"/>
    <col min="12293" max="12293" width="12" style="2" customWidth="1"/>
    <col min="12294" max="12294" width="43.5703125" style="2" customWidth="1"/>
    <col min="12295" max="12547" width="11.42578125" style="2"/>
    <col min="12548" max="12548" width="9.140625" style="2" customWidth="1"/>
    <col min="12549" max="12549" width="12" style="2" customWidth="1"/>
    <col min="12550" max="12550" width="43.5703125" style="2" customWidth="1"/>
    <col min="12551" max="12803" width="11.42578125" style="2"/>
    <col min="12804" max="12804" width="9.140625" style="2" customWidth="1"/>
    <col min="12805" max="12805" width="12" style="2" customWidth="1"/>
    <col min="12806" max="12806" width="43.5703125" style="2" customWidth="1"/>
    <col min="12807" max="13059" width="11.42578125" style="2"/>
    <col min="13060" max="13060" width="9.140625" style="2" customWidth="1"/>
    <col min="13061" max="13061" width="12" style="2" customWidth="1"/>
    <col min="13062" max="13062" width="43.5703125" style="2" customWidth="1"/>
    <col min="13063" max="13315" width="11.42578125" style="2"/>
    <col min="13316" max="13316" width="9.140625" style="2" customWidth="1"/>
    <col min="13317" max="13317" width="12" style="2" customWidth="1"/>
    <col min="13318" max="13318" width="43.5703125" style="2" customWidth="1"/>
    <col min="13319" max="13571" width="11.42578125" style="2"/>
    <col min="13572" max="13572" width="9.140625" style="2" customWidth="1"/>
    <col min="13573" max="13573" width="12" style="2" customWidth="1"/>
    <col min="13574" max="13574" width="43.5703125" style="2" customWidth="1"/>
    <col min="13575" max="13827" width="11.42578125" style="2"/>
    <col min="13828" max="13828" width="9.140625" style="2" customWidth="1"/>
    <col min="13829" max="13829" width="12" style="2" customWidth="1"/>
    <col min="13830" max="13830" width="43.5703125" style="2" customWidth="1"/>
    <col min="13831" max="14083" width="11.42578125" style="2"/>
    <col min="14084" max="14084" width="9.140625" style="2" customWidth="1"/>
    <col min="14085" max="14085" width="12" style="2" customWidth="1"/>
    <col min="14086" max="14086" width="43.5703125" style="2" customWidth="1"/>
    <col min="14087" max="14339" width="11.42578125" style="2"/>
    <col min="14340" max="14340" width="9.140625" style="2" customWidth="1"/>
    <col min="14341" max="14341" width="12" style="2" customWidth="1"/>
    <col min="14342" max="14342" width="43.5703125" style="2" customWidth="1"/>
    <col min="14343" max="14595" width="11.42578125" style="2"/>
    <col min="14596" max="14596" width="9.140625" style="2" customWidth="1"/>
    <col min="14597" max="14597" width="12" style="2" customWidth="1"/>
    <col min="14598" max="14598" width="43.5703125" style="2" customWidth="1"/>
    <col min="14599" max="14851" width="11.42578125" style="2"/>
    <col min="14852" max="14852" width="9.140625" style="2" customWidth="1"/>
    <col min="14853" max="14853" width="12" style="2" customWidth="1"/>
    <col min="14854" max="14854" width="43.5703125" style="2" customWidth="1"/>
    <col min="14855" max="15107" width="11.42578125" style="2"/>
    <col min="15108" max="15108" width="9.140625" style="2" customWidth="1"/>
    <col min="15109" max="15109" width="12" style="2" customWidth="1"/>
    <col min="15110" max="15110" width="43.5703125" style="2" customWidth="1"/>
    <col min="15111" max="15363" width="11.42578125" style="2"/>
    <col min="15364" max="15364" width="9.140625" style="2" customWidth="1"/>
    <col min="15365" max="15365" width="12" style="2" customWidth="1"/>
    <col min="15366" max="15366" width="43.5703125" style="2" customWidth="1"/>
    <col min="15367" max="15619" width="11.42578125" style="2"/>
    <col min="15620" max="15620" width="9.140625" style="2" customWidth="1"/>
    <col min="15621" max="15621" width="12" style="2" customWidth="1"/>
    <col min="15622" max="15622" width="43.5703125" style="2" customWidth="1"/>
    <col min="15623" max="15875" width="11.42578125" style="2"/>
    <col min="15876" max="15876" width="9.140625" style="2" customWidth="1"/>
    <col min="15877" max="15877" width="12" style="2" customWidth="1"/>
    <col min="15878" max="15878" width="43.5703125" style="2" customWidth="1"/>
    <col min="15879" max="16131" width="11.42578125" style="2"/>
    <col min="16132" max="16132" width="9.140625" style="2" customWidth="1"/>
    <col min="16133" max="16133" width="12" style="2" customWidth="1"/>
    <col min="16134" max="16134" width="43.5703125" style="2" customWidth="1"/>
    <col min="16135" max="16384" width="11.42578125" style="2"/>
  </cols>
  <sheetData>
    <row r="8" spans="4:7" ht="29.25" customHeight="1">
      <c r="D8" s="417" t="s">
        <v>289</v>
      </c>
      <c r="E8" s="417"/>
      <c r="F8" s="417"/>
      <c r="G8" s="417"/>
    </row>
    <row r="9" spans="4:7" ht="18">
      <c r="D9" s="418"/>
      <c r="E9" s="419"/>
      <c r="F9" s="419"/>
      <c r="G9" s="419"/>
    </row>
    <row r="10" spans="4:7" ht="19.5" customHeight="1">
      <c r="D10" s="419"/>
      <c r="E10" s="420" t="s">
        <v>10</v>
      </c>
      <c r="F10" s="421"/>
      <c r="G10" s="421"/>
    </row>
    <row r="11" spans="4:7" ht="19.5" customHeight="1">
      <c r="D11" s="419"/>
      <c r="E11" s="419"/>
      <c r="F11" s="422"/>
      <c r="G11" s="419"/>
    </row>
    <row r="12" spans="4:7" ht="19.5" customHeight="1">
      <c r="D12" s="419"/>
      <c r="E12" s="419"/>
      <c r="F12" s="423" t="s">
        <v>290</v>
      </c>
      <c r="G12" s="419"/>
    </row>
    <row r="13" spans="4:7" ht="19.5" customHeight="1">
      <c r="D13" s="419"/>
      <c r="E13" s="419"/>
      <c r="F13" s="423" t="s">
        <v>291</v>
      </c>
      <c r="G13" s="419"/>
    </row>
    <row r="14" spans="4:7" ht="19.5" customHeight="1">
      <c r="D14" s="419"/>
      <c r="E14" s="419"/>
      <c r="F14" s="423" t="s">
        <v>292</v>
      </c>
      <c r="G14" s="419"/>
    </row>
    <row r="15" spans="4:7" ht="19.5" customHeight="1">
      <c r="D15" s="419"/>
      <c r="E15" s="419"/>
      <c r="F15" s="423" t="s">
        <v>293</v>
      </c>
      <c r="G15" s="419"/>
    </row>
    <row r="16" spans="4:7" ht="19.5" customHeight="1">
      <c r="D16" s="419"/>
      <c r="E16" s="419"/>
      <c r="F16" s="423" t="s">
        <v>294</v>
      </c>
      <c r="G16" s="419"/>
    </row>
    <row r="17" spans="4:7" ht="19.5" customHeight="1">
      <c r="D17" s="419"/>
      <c r="E17" s="419"/>
      <c r="F17" s="423" t="s">
        <v>295</v>
      </c>
      <c r="G17" s="419"/>
    </row>
    <row r="18" spans="4:7" ht="19.5" customHeight="1">
      <c r="D18" s="419"/>
      <c r="E18" s="419"/>
      <c r="F18" s="423" t="s">
        <v>296</v>
      </c>
      <c r="G18" s="419"/>
    </row>
    <row r="19" spans="4:7" ht="19.5" customHeight="1">
      <c r="D19" s="419"/>
      <c r="E19" s="419"/>
      <c r="F19" s="423" t="s">
        <v>297</v>
      </c>
      <c r="G19" s="419"/>
    </row>
    <row r="20" spans="4:7" ht="19.5" customHeight="1">
      <c r="D20" s="419"/>
      <c r="E20" s="419"/>
      <c r="F20" s="423" t="s">
        <v>298</v>
      </c>
      <c r="G20" s="419"/>
    </row>
    <row r="21" spans="4:7" ht="19.5" customHeight="1">
      <c r="D21" s="419"/>
      <c r="E21" s="419"/>
      <c r="F21" s="423" t="s">
        <v>299</v>
      </c>
      <c r="G21" s="419"/>
    </row>
    <row r="22" spans="4:7" ht="19.5" customHeight="1">
      <c r="D22" s="419"/>
      <c r="E22" s="419"/>
      <c r="F22" s="423" t="s">
        <v>300</v>
      </c>
      <c r="G22" s="419"/>
    </row>
    <row r="23" spans="4:7" ht="19.5" customHeight="1">
      <c r="D23" s="419"/>
      <c r="E23" s="419"/>
      <c r="F23" s="422"/>
      <c r="G23" s="419"/>
    </row>
    <row r="24" spans="4:7" ht="19.5" customHeight="1">
      <c r="D24" s="419"/>
      <c r="E24" s="420" t="s">
        <v>17</v>
      </c>
      <c r="F24" s="421"/>
      <c r="G24" s="421"/>
    </row>
    <row r="25" spans="4:7" ht="19.5" customHeight="1">
      <c r="D25" s="419"/>
      <c r="E25" s="419"/>
      <c r="F25" s="422"/>
      <c r="G25" s="419"/>
    </row>
    <row r="26" spans="4:7" ht="19.5" customHeight="1">
      <c r="D26" s="419"/>
      <c r="E26" s="419"/>
      <c r="F26" s="423" t="s">
        <v>290</v>
      </c>
      <c r="G26" s="419"/>
    </row>
    <row r="27" spans="4:7" ht="19.5" customHeight="1">
      <c r="D27" s="419"/>
      <c r="E27" s="419"/>
      <c r="F27" s="423" t="s">
        <v>291</v>
      </c>
      <c r="G27" s="419"/>
    </row>
    <row r="28" spans="4:7" ht="19.5" customHeight="1">
      <c r="D28" s="419"/>
      <c r="E28" s="419"/>
      <c r="F28" s="423" t="s">
        <v>292</v>
      </c>
      <c r="G28" s="419"/>
    </row>
    <row r="29" spans="4:7" ht="19.5" customHeight="1">
      <c r="D29" s="419"/>
      <c r="E29" s="419"/>
      <c r="F29" s="423" t="s">
        <v>293</v>
      </c>
      <c r="G29" s="419"/>
    </row>
    <row r="30" spans="4:7" ht="19.5" customHeight="1">
      <c r="D30" s="419"/>
      <c r="E30" s="419"/>
      <c r="F30" s="423" t="s">
        <v>294</v>
      </c>
      <c r="G30" s="419"/>
    </row>
    <row r="31" spans="4:7" ht="19.5" customHeight="1">
      <c r="D31" s="419"/>
      <c r="E31" s="419"/>
      <c r="F31" s="423" t="s">
        <v>295</v>
      </c>
      <c r="G31" s="419"/>
    </row>
    <row r="32" spans="4:7" ht="19.5" customHeight="1">
      <c r="D32" s="419"/>
      <c r="E32" s="419"/>
      <c r="F32" s="423" t="s">
        <v>296</v>
      </c>
      <c r="G32" s="419"/>
    </row>
    <row r="33" spans="3:10" ht="19.5" customHeight="1">
      <c r="D33" s="419"/>
      <c r="E33" s="419"/>
      <c r="F33" s="423" t="s">
        <v>297</v>
      </c>
      <c r="G33" s="419"/>
    </row>
    <row r="34" spans="3:10" ht="19.5" customHeight="1">
      <c r="D34" s="419"/>
      <c r="E34" s="419"/>
      <c r="F34" s="424"/>
      <c r="G34" s="419"/>
    </row>
    <row r="35" spans="3:10" ht="18">
      <c r="D35" s="21"/>
    </row>
    <row r="36" spans="3:10" ht="15.75">
      <c r="E36" s="22"/>
      <c r="F36" s="23"/>
    </row>
    <row r="37" spans="3:10">
      <c r="D37" s="11" t="s">
        <v>8</v>
      </c>
      <c r="E37" s="11"/>
      <c r="F37" s="11"/>
      <c r="G37" s="11"/>
    </row>
    <row r="40" spans="3:10" ht="15.75">
      <c r="E40" s="22"/>
      <c r="F40" s="23"/>
    </row>
    <row r="42" spans="3:10" ht="18">
      <c r="D42" s="21"/>
    </row>
    <row r="43" spans="3:10">
      <c r="C43" s="12"/>
      <c r="D43" s="12"/>
      <c r="E43" s="12"/>
      <c r="F43" s="12"/>
      <c r="G43" s="12"/>
      <c r="H43" s="12"/>
      <c r="I43" s="12"/>
      <c r="J43" s="12"/>
    </row>
    <row r="47" spans="3:10" ht="18">
      <c r="D47" s="21"/>
    </row>
  </sheetData>
  <mergeCells count="2">
    <mergeCell ref="D8:G8"/>
    <mergeCell ref="D37:G37"/>
  </mergeCells>
  <hyperlinks>
    <hyperlink ref="F12" location="'Alojados por municipio'!A1" tooltip="Alojados por municipio y tipología" display="Alojados por municipio y tipología"/>
    <hyperlink ref="F15" location="'pernocta municipio y catego'!A1" tooltip="Pernoctaciones por municipio y categoría" display="Pernoctaciones por municipio y categoría"/>
    <hyperlink ref="F14" location="'Pernoctaciones munic y tipologí'!A1" tooltip="Pernoctaciones por municipio y tipología" display="Pernoctaciones por municipio y tipología"/>
    <hyperlink ref="F13" location="'Alojados tipología y categoría'!A1" tooltip="Alojados por municipio y categoría" display="Alojados por municipio y categoría"/>
    <hyperlink ref="F16" location="'IO municipio y Tipología'!A1" tooltip="Indices de ocupación por municipio y tipología" display="Indices de ocupación por municipio y tipología"/>
    <hyperlink ref="F17" location="'IO municipio y catego'!A1" tooltip="Indices de ocupación por municipio y categoría" display="Indices de ocupación por municipio y categoría"/>
    <hyperlink ref="F18" location="'EM MUNICIPIO y tipología'!A1" tooltip="Estancia media por municipio y tipología" display="Estancia media por municipio y tipología"/>
    <hyperlink ref="F19" location="'EM municipio y catego'!A1" tooltip="Estancia media por municipio y categoría" display="Estancia media por municipio y categoría"/>
    <hyperlink ref="F26" location="'Gráfica alojados municipio'!A1" tooltip="Alojados por municipio y tipología" display="Alojados por municipio y tipología"/>
    <hyperlink ref="F29" location="'Gráfico pernocta munic y cate'!A1" tooltip="Pernoctaciones por municipio y categoría" display="Pernoctaciones por municipio y categoría"/>
    <hyperlink ref="F28" location="'Gráfica pernoct munic tipología'!A1" tooltip="Pernoctaciones por municipio y tipología" display="Pernoctaciones por municipio y tipología"/>
    <hyperlink ref="F27" location="'Gráfico aloj tipolog y categorí'!A1" tooltip="Alojados por municipio y categoría" display="Alojados por municipio y categoría"/>
    <hyperlink ref="F30" location="'gráfica IO MUNICIPI y tipología'!A1" tooltip="Indices de ocupación por municipio y tipología" display="Indices de ocupación por municipio y tipología"/>
    <hyperlink ref="F31" location="'Gráfico IOa munic y ca '!A1" tooltip="Indices de ocupación por municipio y categoría" display="Indices de ocupación por municipio y categoría"/>
    <hyperlink ref="F32" location="'gráfico EM MUNICIPI y tipología'!A1" tooltip="Estancia media por municipio y tipología" display="Estancia media por municipio y tipología"/>
    <hyperlink ref="F33" location="'Gráfico EM munic y ca '!A1" tooltip="Estancia media por municipio y categoría" display="Estancia media por municipio y categoría"/>
    <hyperlink ref="F20" location="'Nacionalidad-Zona (datos)'!A1" tooltip="Alojados por nacionalidad y municipio" display="Alojados por nacionalidad y municipio"/>
    <hyperlink ref="F21" location="'evolucion nac zonas'!A1" tooltip="Evolución de turistas alojados por nacionalidad y municipio" display="Evolución de turistas alojados por nacionalidad y municipio"/>
    <hyperlink ref="F22" location="'Nacionalidad-Zona'!A1" tooltip="Distribución por nacionalidad según municipio" display="Distribución por nacionalidad según municipio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>
  <sheetPr codeName="Hoja63">
    <tabColor rgb="FF000099"/>
    <pageSetUpPr fitToPage="1"/>
  </sheetPr>
  <dimension ref="B6:L30"/>
  <sheetViews>
    <sheetView showGridLines="0" showRowColHeaders="0" zoomScaleNormal="100" workbookViewId="0">
      <selection activeCell="B25" sqref="B25"/>
    </sheetView>
  </sheetViews>
  <sheetFormatPr baseColWidth="10" defaultRowHeight="12.75"/>
  <cols>
    <col min="1" max="1" width="11.42578125" style="23"/>
    <col min="2" max="2" width="26.85546875" style="23" bestFit="1" customWidth="1"/>
    <col min="3" max="7" width="11.7109375" style="23" customWidth="1"/>
    <col min="8" max="8" width="10.7109375" style="23" customWidth="1"/>
    <col min="9" max="15" width="11.42578125" style="23"/>
    <col min="16" max="16" width="13.85546875" style="23" customWidth="1"/>
    <col min="17" max="257" width="11.42578125" style="23"/>
    <col min="258" max="258" width="26.85546875" style="23" bestFit="1" customWidth="1"/>
    <col min="259" max="263" width="11.7109375" style="23" customWidth="1"/>
    <col min="264" max="264" width="10.7109375" style="23" customWidth="1"/>
    <col min="265" max="271" width="11.42578125" style="23"/>
    <col min="272" max="272" width="13.85546875" style="23" customWidth="1"/>
    <col min="273" max="513" width="11.42578125" style="23"/>
    <col min="514" max="514" width="26.85546875" style="23" bestFit="1" customWidth="1"/>
    <col min="515" max="519" width="11.7109375" style="23" customWidth="1"/>
    <col min="520" max="520" width="10.7109375" style="23" customWidth="1"/>
    <col min="521" max="527" width="11.42578125" style="23"/>
    <col min="528" max="528" width="13.85546875" style="23" customWidth="1"/>
    <col min="529" max="769" width="11.42578125" style="23"/>
    <col min="770" max="770" width="26.85546875" style="23" bestFit="1" customWidth="1"/>
    <col min="771" max="775" width="11.7109375" style="23" customWidth="1"/>
    <col min="776" max="776" width="10.7109375" style="23" customWidth="1"/>
    <col min="777" max="783" width="11.42578125" style="23"/>
    <col min="784" max="784" width="13.85546875" style="23" customWidth="1"/>
    <col min="785" max="1025" width="11.42578125" style="23"/>
    <col min="1026" max="1026" width="26.85546875" style="23" bestFit="1" customWidth="1"/>
    <col min="1027" max="1031" width="11.7109375" style="23" customWidth="1"/>
    <col min="1032" max="1032" width="10.7109375" style="23" customWidth="1"/>
    <col min="1033" max="1039" width="11.42578125" style="23"/>
    <col min="1040" max="1040" width="13.85546875" style="23" customWidth="1"/>
    <col min="1041" max="1281" width="11.42578125" style="23"/>
    <col min="1282" max="1282" width="26.85546875" style="23" bestFit="1" customWidth="1"/>
    <col min="1283" max="1287" width="11.7109375" style="23" customWidth="1"/>
    <col min="1288" max="1288" width="10.7109375" style="23" customWidth="1"/>
    <col min="1289" max="1295" width="11.42578125" style="23"/>
    <col min="1296" max="1296" width="13.85546875" style="23" customWidth="1"/>
    <col min="1297" max="1537" width="11.42578125" style="23"/>
    <col min="1538" max="1538" width="26.85546875" style="23" bestFit="1" customWidth="1"/>
    <col min="1539" max="1543" width="11.7109375" style="23" customWidth="1"/>
    <col min="1544" max="1544" width="10.7109375" style="23" customWidth="1"/>
    <col min="1545" max="1551" width="11.42578125" style="23"/>
    <col min="1552" max="1552" width="13.85546875" style="23" customWidth="1"/>
    <col min="1553" max="1793" width="11.42578125" style="23"/>
    <col min="1794" max="1794" width="26.85546875" style="23" bestFit="1" customWidth="1"/>
    <col min="1795" max="1799" width="11.7109375" style="23" customWidth="1"/>
    <col min="1800" max="1800" width="10.7109375" style="23" customWidth="1"/>
    <col min="1801" max="1807" width="11.42578125" style="23"/>
    <col min="1808" max="1808" width="13.85546875" style="23" customWidth="1"/>
    <col min="1809" max="2049" width="11.42578125" style="23"/>
    <col min="2050" max="2050" width="26.85546875" style="23" bestFit="1" customWidth="1"/>
    <col min="2051" max="2055" width="11.7109375" style="23" customWidth="1"/>
    <col min="2056" max="2056" width="10.7109375" style="23" customWidth="1"/>
    <col min="2057" max="2063" width="11.42578125" style="23"/>
    <col min="2064" max="2064" width="13.85546875" style="23" customWidth="1"/>
    <col min="2065" max="2305" width="11.42578125" style="23"/>
    <col min="2306" max="2306" width="26.85546875" style="23" bestFit="1" customWidth="1"/>
    <col min="2307" max="2311" width="11.7109375" style="23" customWidth="1"/>
    <col min="2312" max="2312" width="10.7109375" style="23" customWidth="1"/>
    <col min="2313" max="2319" width="11.42578125" style="23"/>
    <col min="2320" max="2320" width="13.85546875" style="23" customWidth="1"/>
    <col min="2321" max="2561" width="11.42578125" style="23"/>
    <col min="2562" max="2562" width="26.85546875" style="23" bestFit="1" customWidth="1"/>
    <col min="2563" max="2567" width="11.7109375" style="23" customWidth="1"/>
    <col min="2568" max="2568" width="10.7109375" style="23" customWidth="1"/>
    <col min="2569" max="2575" width="11.42578125" style="23"/>
    <col min="2576" max="2576" width="13.85546875" style="23" customWidth="1"/>
    <col min="2577" max="2817" width="11.42578125" style="23"/>
    <col min="2818" max="2818" width="26.85546875" style="23" bestFit="1" customWidth="1"/>
    <col min="2819" max="2823" width="11.7109375" style="23" customWidth="1"/>
    <col min="2824" max="2824" width="10.7109375" style="23" customWidth="1"/>
    <col min="2825" max="2831" width="11.42578125" style="23"/>
    <col min="2832" max="2832" width="13.85546875" style="23" customWidth="1"/>
    <col min="2833" max="3073" width="11.42578125" style="23"/>
    <col min="3074" max="3074" width="26.85546875" style="23" bestFit="1" customWidth="1"/>
    <col min="3075" max="3079" width="11.7109375" style="23" customWidth="1"/>
    <col min="3080" max="3080" width="10.7109375" style="23" customWidth="1"/>
    <col min="3081" max="3087" width="11.42578125" style="23"/>
    <col min="3088" max="3088" width="13.85546875" style="23" customWidth="1"/>
    <col min="3089" max="3329" width="11.42578125" style="23"/>
    <col min="3330" max="3330" width="26.85546875" style="23" bestFit="1" customWidth="1"/>
    <col min="3331" max="3335" width="11.7109375" style="23" customWidth="1"/>
    <col min="3336" max="3336" width="10.7109375" style="23" customWidth="1"/>
    <col min="3337" max="3343" width="11.42578125" style="23"/>
    <col min="3344" max="3344" width="13.85546875" style="23" customWidth="1"/>
    <col min="3345" max="3585" width="11.42578125" style="23"/>
    <col min="3586" max="3586" width="26.85546875" style="23" bestFit="1" customWidth="1"/>
    <col min="3587" max="3591" width="11.7109375" style="23" customWidth="1"/>
    <col min="3592" max="3592" width="10.7109375" style="23" customWidth="1"/>
    <col min="3593" max="3599" width="11.42578125" style="23"/>
    <col min="3600" max="3600" width="13.85546875" style="23" customWidth="1"/>
    <col min="3601" max="3841" width="11.42578125" style="23"/>
    <col min="3842" max="3842" width="26.85546875" style="23" bestFit="1" customWidth="1"/>
    <col min="3843" max="3847" width="11.7109375" style="23" customWidth="1"/>
    <col min="3848" max="3848" width="10.7109375" style="23" customWidth="1"/>
    <col min="3849" max="3855" width="11.42578125" style="23"/>
    <col min="3856" max="3856" width="13.85546875" style="23" customWidth="1"/>
    <col min="3857" max="4097" width="11.42578125" style="23"/>
    <col min="4098" max="4098" width="26.85546875" style="23" bestFit="1" customWidth="1"/>
    <col min="4099" max="4103" width="11.7109375" style="23" customWidth="1"/>
    <col min="4104" max="4104" width="10.7109375" style="23" customWidth="1"/>
    <col min="4105" max="4111" width="11.42578125" style="23"/>
    <col min="4112" max="4112" width="13.85546875" style="23" customWidth="1"/>
    <col min="4113" max="4353" width="11.42578125" style="23"/>
    <col min="4354" max="4354" width="26.85546875" style="23" bestFit="1" customWidth="1"/>
    <col min="4355" max="4359" width="11.7109375" style="23" customWidth="1"/>
    <col min="4360" max="4360" width="10.7109375" style="23" customWidth="1"/>
    <col min="4361" max="4367" width="11.42578125" style="23"/>
    <col min="4368" max="4368" width="13.85546875" style="23" customWidth="1"/>
    <col min="4369" max="4609" width="11.42578125" style="23"/>
    <col min="4610" max="4610" width="26.85546875" style="23" bestFit="1" customWidth="1"/>
    <col min="4611" max="4615" width="11.7109375" style="23" customWidth="1"/>
    <col min="4616" max="4616" width="10.7109375" style="23" customWidth="1"/>
    <col min="4617" max="4623" width="11.42578125" style="23"/>
    <col min="4624" max="4624" width="13.85546875" style="23" customWidth="1"/>
    <col min="4625" max="4865" width="11.42578125" style="23"/>
    <col min="4866" max="4866" width="26.85546875" style="23" bestFit="1" customWidth="1"/>
    <col min="4867" max="4871" width="11.7109375" style="23" customWidth="1"/>
    <col min="4872" max="4872" width="10.7109375" style="23" customWidth="1"/>
    <col min="4873" max="4879" width="11.42578125" style="23"/>
    <col min="4880" max="4880" width="13.85546875" style="23" customWidth="1"/>
    <col min="4881" max="5121" width="11.42578125" style="23"/>
    <col min="5122" max="5122" width="26.85546875" style="23" bestFit="1" customWidth="1"/>
    <col min="5123" max="5127" width="11.7109375" style="23" customWidth="1"/>
    <col min="5128" max="5128" width="10.7109375" style="23" customWidth="1"/>
    <col min="5129" max="5135" width="11.42578125" style="23"/>
    <col min="5136" max="5136" width="13.85546875" style="23" customWidth="1"/>
    <col min="5137" max="5377" width="11.42578125" style="23"/>
    <col min="5378" max="5378" width="26.85546875" style="23" bestFit="1" customWidth="1"/>
    <col min="5379" max="5383" width="11.7109375" style="23" customWidth="1"/>
    <col min="5384" max="5384" width="10.7109375" style="23" customWidth="1"/>
    <col min="5385" max="5391" width="11.42578125" style="23"/>
    <col min="5392" max="5392" width="13.85546875" style="23" customWidth="1"/>
    <col min="5393" max="5633" width="11.42578125" style="23"/>
    <col min="5634" max="5634" width="26.85546875" style="23" bestFit="1" customWidth="1"/>
    <col min="5635" max="5639" width="11.7109375" style="23" customWidth="1"/>
    <col min="5640" max="5640" width="10.7109375" style="23" customWidth="1"/>
    <col min="5641" max="5647" width="11.42578125" style="23"/>
    <col min="5648" max="5648" width="13.85546875" style="23" customWidth="1"/>
    <col min="5649" max="5889" width="11.42578125" style="23"/>
    <col min="5890" max="5890" width="26.85546875" style="23" bestFit="1" customWidth="1"/>
    <col min="5891" max="5895" width="11.7109375" style="23" customWidth="1"/>
    <col min="5896" max="5896" width="10.7109375" style="23" customWidth="1"/>
    <col min="5897" max="5903" width="11.42578125" style="23"/>
    <col min="5904" max="5904" width="13.85546875" style="23" customWidth="1"/>
    <col min="5905" max="6145" width="11.42578125" style="23"/>
    <col min="6146" max="6146" width="26.85546875" style="23" bestFit="1" customWidth="1"/>
    <col min="6147" max="6151" width="11.7109375" style="23" customWidth="1"/>
    <col min="6152" max="6152" width="10.7109375" style="23" customWidth="1"/>
    <col min="6153" max="6159" width="11.42578125" style="23"/>
    <col min="6160" max="6160" width="13.85546875" style="23" customWidth="1"/>
    <col min="6161" max="6401" width="11.42578125" style="23"/>
    <col min="6402" max="6402" width="26.85546875" style="23" bestFit="1" customWidth="1"/>
    <col min="6403" max="6407" width="11.7109375" style="23" customWidth="1"/>
    <col min="6408" max="6408" width="10.7109375" style="23" customWidth="1"/>
    <col min="6409" max="6415" width="11.42578125" style="23"/>
    <col min="6416" max="6416" width="13.85546875" style="23" customWidth="1"/>
    <col min="6417" max="6657" width="11.42578125" style="23"/>
    <col min="6658" max="6658" width="26.85546875" style="23" bestFit="1" customWidth="1"/>
    <col min="6659" max="6663" width="11.7109375" style="23" customWidth="1"/>
    <col min="6664" max="6664" width="10.7109375" style="23" customWidth="1"/>
    <col min="6665" max="6671" width="11.42578125" style="23"/>
    <col min="6672" max="6672" width="13.85546875" style="23" customWidth="1"/>
    <col min="6673" max="6913" width="11.42578125" style="23"/>
    <col min="6914" max="6914" width="26.85546875" style="23" bestFit="1" customWidth="1"/>
    <col min="6915" max="6919" width="11.7109375" style="23" customWidth="1"/>
    <col min="6920" max="6920" width="10.7109375" style="23" customWidth="1"/>
    <col min="6921" max="6927" width="11.42578125" style="23"/>
    <col min="6928" max="6928" width="13.85546875" style="23" customWidth="1"/>
    <col min="6929" max="7169" width="11.42578125" style="23"/>
    <col min="7170" max="7170" width="26.85546875" style="23" bestFit="1" customWidth="1"/>
    <col min="7171" max="7175" width="11.7109375" style="23" customWidth="1"/>
    <col min="7176" max="7176" width="10.7109375" style="23" customWidth="1"/>
    <col min="7177" max="7183" width="11.42578125" style="23"/>
    <col min="7184" max="7184" width="13.85546875" style="23" customWidth="1"/>
    <col min="7185" max="7425" width="11.42578125" style="23"/>
    <col min="7426" max="7426" width="26.85546875" style="23" bestFit="1" customWidth="1"/>
    <col min="7427" max="7431" width="11.7109375" style="23" customWidth="1"/>
    <col min="7432" max="7432" width="10.7109375" style="23" customWidth="1"/>
    <col min="7433" max="7439" width="11.42578125" style="23"/>
    <col min="7440" max="7440" width="13.85546875" style="23" customWidth="1"/>
    <col min="7441" max="7681" width="11.42578125" style="23"/>
    <col min="7682" max="7682" width="26.85546875" style="23" bestFit="1" customWidth="1"/>
    <col min="7683" max="7687" width="11.7109375" style="23" customWidth="1"/>
    <col min="7688" max="7688" width="10.7109375" style="23" customWidth="1"/>
    <col min="7689" max="7695" width="11.42578125" style="23"/>
    <col min="7696" max="7696" width="13.85546875" style="23" customWidth="1"/>
    <col min="7697" max="7937" width="11.42578125" style="23"/>
    <col min="7938" max="7938" width="26.85546875" style="23" bestFit="1" customWidth="1"/>
    <col min="7939" max="7943" width="11.7109375" style="23" customWidth="1"/>
    <col min="7944" max="7944" width="10.7109375" style="23" customWidth="1"/>
    <col min="7945" max="7951" width="11.42578125" style="23"/>
    <col min="7952" max="7952" width="13.85546875" style="23" customWidth="1"/>
    <col min="7953" max="8193" width="11.42578125" style="23"/>
    <col min="8194" max="8194" width="26.85546875" style="23" bestFit="1" customWidth="1"/>
    <col min="8195" max="8199" width="11.7109375" style="23" customWidth="1"/>
    <col min="8200" max="8200" width="10.7109375" style="23" customWidth="1"/>
    <col min="8201" max="8207" width="11.42578125" style="23"/>
    <col min="8208" max="8208" width="13.85546875" style="23" customWidth="1"/>
    <col min="8209" max="8449" width="11.42578125" style="23"/>
    <col min="8450" max="8450" width="26.85546875" style="23" bestFit="1" customWidth="1"/>
    <col min="8451" max="8455" width="11.7109375" style="23" customWidth="1"/>
    <col min="8456" max="8456" width="10.7109375" style="23" customWidth="1"/>
    <col min="8457" max="8463" width="11.42578125" style="23"/>
    <col min="8464" max="8464" width="13.85546875" style="23" customWidth="1"/>
    <col min="8465" max="8705" width="11.42578125" style="23"/>
    <col min="8706" max="8706" width="26.85546875" style="23" bestFit="1" customWidth="1"/>
    <col min="8707" max="8711" width="11.7109375" style="23" customWidth="1"/>
    <col min="8712" max="8712" width="10.7109375" style="23" customWidth="1"/>
    <col min="8713" max="8719" width="11.42578125" style="23"/>
    <col min="8720" max="8720" width="13.85546875" style="23" customWidth="1"/>
    <col min="8721" max="8961" width="11.42578125" style="23"/>
    <col min="8962" max="8962" width="26.85546875" style="23" bestFit="1" customWidth="1"/>
    <col min="8963" max="8967" width="11.7109375" style="23" customWidth="1"/>
    <col min="8968" max="8968" width="10.7109375" style="23" customWidth="1"/>
    <col min="8969" max="8975" width="11.42578125" style="23"/>
    <col min="8976" max="8976" width="13.85546875" style="23" customWidth="1"/>
    <col min="8977" max="9217" width="11.42578125" style="23"/>
    <col min="9218" max="9218" width="26.85546875" style="23" bestFit="1" customWidth="1"/>
    <col min="9219" max="9223" width="11.7109375" style="23" customWidth="1"/>
    <col min="9224" max="9224" width="10.7109375" style="23" customWidth="1"/>
    <col min="9225" max="9231" width="11.42578125" style="23"/>
    <col min="9232" max="9232" width="13.85546875" style="23" customWidth="1"/>
    <col min="9233" max="9473" width="11.42578125" style="23"/>
    <col min="9474" max="9474" width="26.85546875" style="23" bestFit="1" customWidth="1"/>
    <col min="9475" max="9479" width="11.7109375" style="23" customWidth="1"/>
    <col min="9480" max="9480" width="10.7109375" style="23" customWidth="1"/>
    <col min="9481" max="9487" width="11.42578125" style="23"/>
    <col min="9488" max="9488" width="13.85546875" style="23" customWidth="1"/>
    <col min="9489" max="9729" width="11.42578125" style="23"/>
    <col min="9730" max="9730" width="26.85546875" style="23" bestFit="1" customWidth="1"/>
    <col min="9731" max="9735" width="11.7109375" style="23" customWidth="1"/>
    <col min="9736" max="9736" width="10.7109375" style="23" customWidth="1"/>
    <col min="9737" max="9743" width="11.42578125" style="23"/>
    <col min="9744" max="9744" width="13.85546875" style="23" customWidth="1"/>
    <col min="9745" max="9985" width="11.42578125" style="23"/>
    <col min="9986" max="9986" width="26.85546875" style="23" bestFit="1" customWidth="1"/>
    <col min="9987" max="9991" width="11.7109375" style="23" customWidth="1"/>
    <col min="9992" max="9992" width="10.7109375" style="23" customWidth="1"/>
    <col min="9993" max="9999" width="11.42578125" style="23"/>
    <col min="10000" max="10000" width="13.85546875" style="23" customWidth="1"/>
    <col min="10001" max="10241" width="11.42578125" style="23"/>
    <col min="10242" max="10242" width="26.85546875" style="23" bestFit="1" customWidth="1"/>
    <col min="10243" max="10247" width="11.7109375" style="23" customWidth="1"/>
    <col min="10248" max="10248" width="10.7109375" style="23" customWidth="1"/>
    <col min="10249" max="10255" width="11.42578125" style="23"/>
    <col min="10256" max="10256" width="13.85546875" style="23" customWidth="1"/>
    <col min="10257" max="10497" width="11.42578125" style="23"/>
    <col min="10498" max="10498" width="26.85546875" style="23" bestFit="1" customWidth="1"/>
    <col min="10499" max="10503" width="11.7109375" style="23" customWidth="1"/>
    <col min="10504" max="10504" width="10.7109375" style="23" customWidth="1"/>
    <col min="10505" max="10511" width="11.42578125" style="23"/>
    <col min="10512" max="10512" width="13.85546875" style="23" customWidth="1"/>
    <col min="10513" max="10753" width="11.42578125" style="23"/>
    <col min="10754" max="10754" width="26.85546875" style="23" bestFit="1" customWidth="1"/>
    <col min="10755" max="10759" width="11.7109375" style="23" customWidth="1"/>
    <col min="10760" max="10760" width="10.7109375" style="23" customWidth="1"/>
    <col min="10761" max="10767" width="11.42578125" style="23"/>
    <col min="10768" max="10768" width="13.85546875" style="23" customWidth="1"/>
    <col min="10769" max="11009" width="11.42578125" style="23"/>
    <col min="11010" max="11010" width="26.85546875" style="23" bestFit="1" customWidth="1"/>
    <col min="11011" max="11015" width="11.7109375" style="23" customWidth="1"/>
    <col min="11016" max="11016" width="10.7109375" style="23" customWidth="1"/>
    <col min="11017" max="11023" width="11.42578125" style="23"/>
    <col min="11024" max="11024" width="13.85546875" style="23" customWidth="1"/>
    <col min="11025" max="11265" width="11.42578125" style="23"/>
    <col min="11266" max="11266" width="26.85546875" style="23" bestFit="1" customWidth="1"/>
    <col min="11267" max="11271" width="11.7109375" style="23" customWidth="1"/>
    <col min="11272" max="11272" width="10.7109375" style="23" customWidth="1"/>
    <col min="11273" max="11279" width="11.42578125" style="23"/>
    <col min="11280" max="11280" width="13.85546875" style="23" customWidth="1"/>
    <col min="11281" max="11521" width="11.42578125" style="23"/>
    <col min="11522" max="11522" width="26.85546875" style="23" bestFit="1" customWidth="1"/>
    <col min="11523" max="11527" width="11.7109375" style="23" customWidth="1"/>
    <col min="11528" max="11528" width="10.7109375" style="23" customWidth="1"/>
    <col min="11529" max="11535" width="11.42578125" style="23"/>
    <col min="11536" max="11536" width="13.85546875" style="23" customWidth="1"/>
    <col min="11537" max="11777" width="11.42578125" style="23"/>
    <col min="11778" max="11778" width="26.85546875" style="23" bestFit="1" customWidth="1"/>
    <col min="11779" max="11783" width="11.7109375" style="23" customWidth="1"/>
    <col min="11784" max="11784" width="10.7109375" style="23" customWidth="1"/>
    <col min="11785" max="11791" width="11.42578125" style="23"/>
    <col min="11792" max="11792" width="13.85546875" style="23" customWidth="1"/>
    <col min="11793" max="12033" width="11.42578125" style="23"/>
    <col min="12034" max="12034" width="26.85546875" style="23" bestFit="1" customWidth="1"/>
    <col min="12035" max="12039" width="11.7109375" style="23" customWidth="1"/>
    <col min="12040" max="12040" width="10.7109375" style="23" customWidth="1"/>
    <col min="12041" max="12047" width="11.42578125" style="23"/>
    <col min="12048" max="12048" width="13.85546875" style="23" customWidth="1"/>
    <col min="12049" max="12289" width="11.42578125" style="23"/>
    <col min="12290" max="12290" width="26.85546875" style="23" bestFit="1" customWidth="1"/>
    <col min="12291" max="12295" width="11.7109375" style="23" customWidth="1"/>
    <col min="12296" max="12296" width="10.7109375" style="23" customWidth="1"/>
    <col min="12297" max="12303" width="11.42578125" style="23"/>
    <col min="12304" max="12304" width="13.85546875" style="23" customWidth="1"/>
    <col min="12305" max="12545" width="11.42578125" style="23"/>
    <col min="12546" max="12546" width="26.85546875" style="23" bestFit="1" customWidth="1"/>
    <col min="12547" max="12551" width="11.7109375" style="23" customWidth="1"/>
    <col min="12552" max="12552" width="10.7109375" style="23" customWidth="1"/>
    <col min="12553" max="12559" width="11.42578125" style="23"/>
    <col min="12560" max="12560" width="13.85546875" style="23" customWidth="1"/>
    <col min="12561" max="12801" width="11.42578125" style="23"/>
    <col min="12802" max="12802" width="26.85546875" style="23" bestFit="1" customWidth="1"/>
    <col min="12803" max="12807" width="11.7109375" style="23" customWidth="1"/>
    <col min="12808" max="12808" width="10.7109375" style="23" customWidth="1"/>
    <col min="12809" max="12815" width="11.42578125" style="23"/>
    <col min="12816" max="12816" width="13.85546875" style="23" customWidth="1"/>
    <col min="12817" max="13057" width="11.42578125" style="23"/>
    <col min="13058" max="13058" width="26.85546875" style="23" bestFit="1" customWidth="1"/>
    <col min="13059" max="13063" width="11.7109375" style="23" customWidth="1"/>
    <col min="13064" max="13064" width="10.7109375" style="23" customWidth="1"/>
    <col min="13065" max="13071" width="11.42578125" style="23"/>
    <col min="13072" max="13072" width="13.85546875" style="23" customWidth="1"/>
    <col min="13073" max="13313" width="11.42578125" style="23"/>
    <col min="13314" max="13314" width="26.85546875" style="23" bestFit="1" customWidth="1"/>
    <col min="13315" max="13319" width="11.7109375" style="23" customWidth="1"/>
    <col min="13320" max="13320" width="10.7109375" style="23" customWidth="1"/>
    <col min="13321" max="13327" width="11.42578125" style="23"/>
    <col min="13328" max="13328" width="13.85546875" style="23" customWidth="1"/>
    <col min="13329" max="13569" width="11.42578125" style="23"/>
    <col min="13570" max="13570" width="26.85546875" style="23" bestFit="1" customWidth="1"/>
    <col min="13571" max="13575" width="11.7109375" style="23" customWidth="1"/>
    <col min="13576" max="13576" width="10.7109375" style="23" customWidth="1"/>
    <col min="13577" max="13583" width="11.42578125" style="23"/>
    <col min="13584" max="13584" width="13.85546875" style="23" customWidth="1"/>
    <col min="13585" max="13825" width="11.42578125" style="23"/>
    <col min="13826" max="13826" width="26.85546875" style="23" bestFit="1" customWidth="1"/>
    <col min="13827" max="13831" width="11.7109375" style="23" customWidth="1"/>
    <col min="13832" max="13832" width="10.7109375" style="23" customWidth="1"/>
    <col min="13833" max="13839" width="11.42578125" style="23"/>
    <col min="13840" max="13840" width="13.85546875" style="23" customWidth="1"/>
    <col min="13841" max="14081" width="11.42578125" style="23"/>
    <col min="14082" max="14082" width="26.85546875" style="23" bestFit="1" customWidth="1"/>
    <col min="14083" max="14087" width="11.7109375" style="23" customWidth="1"/>
    <col min="14088" max="14088" width="10.7109375" style="23" customWidth="1"/>
    <col min="14089" max="14095" width="11.42578125" style="23"/>
    <col min="14096" max="14096" width="13.85546875" style="23" customWidth="1"/>
    <col min="14097" max="14337" width="11.42578125" style="23"/>
    <col min="14338" max="14338" width="26.85546875" style="23" bestFit="1" customWidth="1"/>
    <col min="14339" max="14343" width="11.7109375" style="23" customWidth="1"/>
    <col min="14344" max="14344" width="10.7109375" style="23" customWidth="1"/>
    <col min="14345" max="14351" width="11.42578125" style="23"/>
    <col min="14352" max="14352" width="13.85546875" style="23" customWidth="1"/>
    <col min="14353" max="14593" width="11.42578125" style="23"/>
    <col min="14594" max="14594" width="26.85546875" style="23" bestFit="1" customWidth="1"/>
    <col min="14595" max="14599" width="11.7109375" style="23" customWidth="1"/>
    <col min="14600" max="14600" width="10.7109375" style="23" customWidth="1"/>
    <col min="14601" max="14607" width="11.42578125" style="23"/>
    <col min="14608" max="14608" width="13.85546875" style="23" customWidth="1"/>
    <col min="14609" max="14849" width="11.42578125" style="23"/>
    <col min="14850" max="14850" width="26.85546875" style="23" bestFit="1" customWidth="1"/>
    <col min="14851" max="14855" width="11.7109375" style="23" customWidth="1"/>
    <col min="14856" max="14856" width="10.7109375" style="23" customWidth="1"/>
    <col min="14857" max="14863" width="11.42578125" style="23"/>
    <col min="14864" max="14864" width="13.85546875" style="23" customWidth="1"/>
    <col min="14865" max="15105" width="11.42578125" style="23"/>
    <col min="15106" max="15106" width="26.85546875" style="23" bestFit="1" customWidth="1"/>
    <col min="15107" max="15111" width="11.7109375" style="23" customWidth="1"/>
    <col min="15112" max="15112" width="10.7109375" style="23" customWidth="1"/>
    <col min="15113" max="15119" width="11.42578125" style="23"/>
    <col min="15120" max="15120" width="13.85546875" style="23" customWidth="1"/>
    <col min="15121" max="15361" width="11.42578125" style="23"/>
    <col min="15362" max="15362" width="26.85546875" style="23" bestFit="1" customWidth="1"/>
    <col min="15363" max="15367" width="11.7109375" style="23" customWidth="1"/>
    <col min="15368" max="15368" width="10.7109375" style="23" customWidth="1"/>
    <col min="15369" max="15375" width="11.42578125" style="23"/>
    <col min="15376" max="15376" width="13.85546875" style="23" customWidth="1"/>
    <col min="15377" max="15617" width="11.42578125" style="23"/>
    <col min="15618" max="15618" width="26.85546875" style="23" bestFit="1" customWidth="1"/>
    <col min="15619" max="15623" width="11.7109375" style="23" customWidth="1"/>
    <col min="15624" max="15624" width="10.7109375" style="23" customWidth="1"/>
    <col min="15625" max="15631" width="11.42578125" style="23"/>
    <col min="15632" max="15632" width="13.85546875" style="23" customWidth="1"/>
    <col min="15633" max="15873" width="11.42578125" style="23"/>
    <col min="15874" max="15874" width="26.85546875" style="23" bestFit="1" customWidth="1"/>
    <col min="15875" max="15879" width="11.7109375" style="23" customWidth="1"/>
    <col min="15880" max="15880" width="10.7109375" style="23" customWidth="1"/>
    <col min="15881" max="15887" width="11.42578125" style="23"/>
    <col min="15888" max="15888" width="13.85546875" style="23" customWidth="1"/>
    <col min="15889" max="16129" width="11.42578125" style="23"/>
    <col min="16130" max="16130" width="26.85546875" style="23" bestFit="1" customWidth="1"/>
    <col min="16131" max="16135" width="11.7109375" style="23" customWidth="1"/>
    <col min="16136" max="16136" width="10.7109375" style="23" customWidth="1"/>
    <col min="16137" max="16143" width="11.42578125" style="23"/>
    <col min="16144" max="16144" width="13.85546875" style="23" customWidth="1"/>
    <col min="16145" max="16384" width="11.42578125" style="23"/>
  </cols>
  <sheetData>
    <row r="6" spans="2:7" ht="20.25" customHeight="1">
      <c r="B6" s="27" t="s">
        <v>301</v>
      </c>
      <c r="C6" s="28"/>
      <c r="D6" s="28"/>
      <c r="E6" s="28"/>
      <c r="F6" s="28"/>
      <c r="G6" s="29"/>
    </row>
    <row r="7" spans="2:7" ht="25.5">
      <c r="B7" s="30" t="s">
        <v>267</v>
      </c>
      <c r="C7" s="329" t="str">
        <f>actualizaciones!A3</f>
        <v>acumulado julio 2009</v>
      </c>
      <c r="D7" s="330" t="s">
        <v>27</v>
      </c>
      <c r="E7" s="329" t="str">
        <f>actualizaciones!A2</f>
        <v xml:space="preserve">acumulado julio 2010 </v>
      </c>
      <c r="F7" s="330" t="s">
        <v>27</v>
      </c>
      <c r="G7" s="330" t="s">
        <v>28</v>
      </c>
    </row>
    <row r="8" spans="2:7" ht="15" customHeight="1">
      <c r="B8" s="98" t="s">
        <v>268</v>
      </c>
      <c r="C8" s="107"/>
      <c r="D8" s="107"/>
      <c r="E8" s="107"/>
      <c r="F8" s="107"/>
      <c r="G8" s="108"/>
    </row>
    <row r="9" spans="2:7">
      <c r="B9" s="101" t="s">
        <v>302</v>
      </c>
      <c r="C9" s="425">
        <f>GETPIVOTDATA("Suma de TOTAL GENERAL",'[1]tabla dinámica municipios'!$G$4,"PAIS/INDICADOR","TOTAL","AÑO",2009)</f>
        <v>2728596</v>
      </c>
      <c r="D9" s="426">
        <f>C9/C9</f>
        <v>1</v>
      </c>
      <c r="E9" s="425">
        <f>GETPIVOTDATA("Suma de TOTAL GENERAL",'[1]tabla dinámica municipios'!$G$4,"PAIS/INDICADOR","TOTAL","AÑO",2010)</f>
        <v>2766193</v>
      </c>
      <c r="F9" s="426">
        <f>E9/E9</f>
        <v>1</v>
      </c>
      <c r="G9" s="427">
        <f>(E9-C9)/C9</f>
        <v>1.3778881153530974E-2</v>
      </c>
    </row>
    <row r="10" spans="2:7">
      <c r="B10" s="103" t="s">
        <v>303</v>
      </c>
      <c r="C10" s="428">
        <f>GETPIVOTDATA("Suma de TOTAL HOTELERO",'[1]tabla dinámica municipios'!$G$4,"PAIS/INDICADOR","TOTAL","AÑO",2009)</f>
        <v>1605820</v>
      </c>
      <c r="D10" s="429">
        <f>C10/C9</f>
        <v>0.58851511913086441</v>
      </c>
      <c r="E10" s="428">
        <f>GETPIVOTDATA("Suma de TOTAL HOTELERO",'[1]tabla dinámica municipios'!$G$4,"PAIS/INDICADOR","TOTAL","AÑO",2010)</f>
        <v>1677828</v>
      </c>
      <c r="F10" s="429">
        <f>E10/E9</f>
        <v>0.60654769931093022</v>
      </c>
      <c r="G10" s="430">
        <f>(E10-C10)/C10</f>
        <v>4.48418876337323E-2</v>
      </c>
    </row>
    <row r="11" spans="2:7">
      <c r="B11" s="431" t="s">
        <v>304</v>
      </c>
      <c r="C11" s="432">
        <f>GETPIVOTDATA("Suma de Extrahoteleros",'[1]tabla dinámica municipios'!$G$4,"PAIS/INDICADOR","TOTAL","AÑO",2009)</f>
        <v>1122776</v>
      </c>
      <c r="D11" s="429">
        <f>C11/C9</f>
        <v>0.41148488086913565</v>
      </c>
      <c r="E11" s="432">
        <f>GETPIVOTDATA("Suma de Extrahoteleros",'[1]tabla dinámica municipios'!$G$4,"PAIS/INDICADOR","TOTAL","AÑO",2010)</f>
        <v>1088365</v>
      </c>
      <c r="F11" s="433">
        <f>E11/E9</f>
        <v>0.39345230068906978</v>
      </c>
      <c r="G11" s="434">
        <f>(E11-C11)/C11</f>
        <v>-3.0648143529965016E-2</v>
      </c>
    </row>
    <row r="12" spans="2:7" ht="15" customHeight="1">
      <c r="B12" s="98" t="s">
        <v>89</v>
      </c>
      <c r="C12" s="435"/>
      <c r="D12" s="435"/>
      <c r="E12" s="435"/>
      <c r="F12" s="435"/>
      <c r="G12" s="436"/>
    </row>
    <row r="13" spans="2:7">
      <c r="B13" s="109" t="s">
        <v>302</v>
      </c>
      <c r="C13" s="437">
        <f>GETPIVOTDATA("dato",'[1]tabla dinámica municipios'!$A$4,"indicador","TOTAL","categoría","TOTAL","municipio","ADEJE","año",2009)</f>
        <v>945838</v>
      </c>
      <c r="D13" s="438">
        <f>C13/C13</f>
        <v>1</v>
      </c>
      <c r="E13" s="437">
        <f>GETPIVOTDATA("dato",'[1]tabla dinámica municipios'!$A$4,"indicador","TOTAL","categoría","TOTAL","municipio","ADEJE","año",2010)</f>
        <v>978683</v>
      </c>
      <c r="F13" s="438">
        <f>E13/E13</f>
        <v>1</v>
      </c>
      <c r="G13" s="439">
        <f>(E13-C13)/C13</f>
        <v>3.472581985498574E-2</v>
      </c>
    </row>
    <row r="14" spans="2:7">
      <c r="B14" s="111" t="s">
        <v>303</v>
      </c>
      <c r="C14" s="440">
        <f>GETPIVOTDATA("dato",'[1]tabla dinámica municipios'!$A$4,"indicador","TOTAL","categoría","Hoteleros","municipio","ADEJE","año",2009)</f>
        <v>605398</v>
      </c>
      <c r="D14" s="441">
        <f>C14/C13</f>
        <v>0.64006521201305089</v>
      </c>
      <c r="E14" s="440">
        <f>GETPIVOTDATA("dato",'[1]tabla dinámica municipios'!$A$4,"indicador","TOTAL","categoría","Hoteleros","municipio","ADEJE","año",2010)</f>
        <v>644123</v>
      </c>
      <c r="F14" s="441">
        <f>E14/E13</f>
        <v>0.6581528441793717</v>
      </c>
      <c r="G14" s="442">
        <f>(E14-C14)/C14</f>
        <v>6.3966184229217807E-2</v>
      </c>
    </row>
    <row r="15" spans="2:7">
      <c r="B15" s="111" t="s">
        <v>304</v>
      </c>
      <c r="C15" s="440">
        <f>GETPIVOTDATA("dato",'[1]tabla dinámica municipios'!$A$4,"indicador","TOTAL","categoría","Extrahoteleros","municipio","ADEJE","año",2009)</f>
        <v>340440</v>
      </c>
      <c r="D15" s="441">
        <f>C15/C13</f>
        <v>0.35993478798694911</v>
      </c>
      <c r="E15" s="440">
        <f>GETPIVOTDATA("dato",'[1]tabla dinámica municipios'!$A$4,"indicador","TOTAL","categoría","Extrahoteleros","municipio","ADEJE","año",2010)</f>
        <v>334560</v>
      </c>
      <c r="F15" s="441">
        <f>E15/E13</f>
        <v>0.34184715582062836</v>
      </c>
      <c r="G15" s="442">
        <f>(E15-C15)/C15</f>
        <v>-1.7271765949947126E-2</v>
      </c>
    </row>
    <row r="16" spans="2:7" ht="15" customHeight="1">
      <c r="B16" s="98" t="s">
        <v>305</v>
      </c>
      <c r="C16" s="435"/>
      <c r="D16" s="435"/>
      <c r="E16" s="435"/>
      <c r="F16" s="435"/>
      <c r="G16" s="436"/>
    </row>
    <row r="17" spans="2:12">
      <c r="B17" s="111" t="s">
        <v>302</v>
      </c>
      <c r="C17" s="437">
        <f>GETPIVOTDATA("dato",'[1]tabla dinámica municipios'!$A$4,"indicador","TOTAL","categoría","TOTAL","municipio","ARONA","año",2009)</f>
        <v>808683</v>
      </c>
      <c r="D17" s="438">
        <f>C17/C17</f>
        <v>1</v>
      </c>
      <c r="E17" s="437">
        <f>GETPIVOTDATA("dato",'[1]tabla dinámica municipios'!$A$4,"indicador","TOTAL","categoría","TOTAL","municipio","ARONA","año",2010)</f>
        <v>818429</v>
      </c>
      <c r="F17" s="438">
        <f>E17/E17</f>
        <v>1</v>
      </c>
      <c r="G17" s="439">
        <f>(E17-C17)/C17</f>
        <v>1.2051693927039395E-2</v>
      </c>
    </row>
    <row r="18" spans="2:12">
      <c r="B18" s="111" t="s">
        <v>303</v>
      </c>
      <c r="C18" s="440">
        <f>GETPIVOTDATA("dato",'[1]tabla dinámica municipios'!$A$4,"indicador","TOTAL","categoría","Hoteleros","municipio","ARONA","año",2009)</f>
        <v>343639</v>
      </c>
      <c r="D18" s="441">
        <f>C18/C17</f>
        <v>0.42493659443811727</v>
      </c>
      <c r="E18" s="440">
        <f>GETPIVOTDATA("dato",'[1]tabla dinámica municipios'!$A$4,"indicador","TOTAL","categoría","Hoteleros","municipio","ARONA","año",2010)</f>
        <v>372354</v>
      </c>
      <c r="F18" s="441">
        <f>E18/E17</f>
        <v>0.45496188429295636</v>
      </c>
      <c r="G18" s="442">
        <f>(E18-C18)/C18</f>
        <v>8.3561528231661714E-2</v>
      </c>
    </row>
    <row r="19" spans="2:12">
      <c r="B19" s="111" t="s">
        <v>304</v>
      </c>
      <c r="C19" s="443">
        <f>GETPIVOTDATA("dato",'[1]tabla dinámica municipios'!$A$4,"indicador","TOTAL","categoría","Extrahoteleros","municipio","ARONA","año",2009)</f>
        <v>465044</v>
      </c>
      <c r="D19" s="444">
        <f>C19/C17</f>
        <v>0.57506340556188273</v>
      </c>
      <c r="E19" s="443">
        <f>GETPIVOTDATA("dato",'[1]tabla dinámica municipios'!$A$4,"indicador","TOTAL","categoría","Extrahoteleros","municipio","ARONA","año",2010)</f>
        <v>446075</v>
      </c>
      <c r="F19" s="444">
        <f>E19/E17</f>
        <v>0.54503811570704364</v>
      </c>
      <c r="G19" s="442">
        <f>(E19-C19)/C19</f>
        <v>-4.0789688717626719E-2</v>
      </c>
    </row>
    <row r="20" spans="2:12" ht="15" customHeight="1">
      <c r="B20" s="98" t="s">
        <v>306</v>
      </c>
      <c r="C20" s="435"/>
      <c r="D20" s="435"/>
      <c r="E20" s="435"/>
      <c r="F20" s="435"/>
      <c r="G20" s="436"/>
    </row>
    <row r="21" spans="2:12">
      <c r="B21" s="111" t="s">
        <v>302</v>
      </c>
      <c r="C21" s="437">
        <f>GETPIVOTDATA("dato",'[1]tabla dinámica municipios'!$A$4,"indicador","TOTAL","categoría","TOTAL","municipio","Puerto de la Cruz","año",2009)</f>
        <v>443574</v>
      </c>
      <c r="D21" s="438">
        <f>C21/C21</f>
        <v>1</v>
      </c>
      <c r="E21" s="437">
        <f>GETPIVOTDATA("dato",'[1]tabla dinámica municipios'!$A$4,"indicador","TOTAL","categoría","TOTAL","municipio","Puerto de la Cruz","año",2010)</f>
        <v>415019</v>
      </c>
      <c r="F21" s="438">
        <f>E21/E21</f>
        <v>1</v>
      </c>
      <c r="G21" s="439">
        <f>(E21-C21)/C21</f>
        <v>-6.4374828100835488E-2</v>
      </c>
    </row>
    <row r="22" spans="2:12">
      <c r="B22" s="111" t="s">
        <v>303</v>
      </c>
      <c r="C22" s="440">
        <f>GETPIVOTDATA("dato",'[1]tabla dinámica municipios'!$A$4,"indicador","TOTAL","categoría","Hoteleros","municipio","Puerto de la Cruz","año",2009)</f>
        <v>292166</v>
      </c>
      <c r="D22" s="441">
        <f>C22/C21</f>
        <v>0.65866349244996325</v>
      </c>
      <c r="E22" s="440">
        <f>GETPIVOTDATA("dato",'[1]tabla dinámica municipios'!$A$4,"indicador","TOTAL","categoría","Hoteleros","municipio","Puerto de la Cruz","año",2010)</f>
        <v>284310</v>
      </c>
      <c r="F22" s="441">
        <f>E22/E21</f>
        <v>0.68505297347832272</v>
      </c>
      <c r="G22" s="442">
        <f>(E22-C22)/C22</f>
        <v>-2.6888823477064408E-2</v>
      </c>
    </row>
    <row r="23" spans="2:12">
      <c r="B23" s="111" t="s">
        <v>304</v>
      </c>
      <c r="C23" s="443">
        <f>GETPIVOTDATA("dato",'[1]tabla dinámica municipios'!$A$4,"indicador","TOTAL","categoría","Extrahoteleros","municipio","Puerto de la Cruz","año",2009)</f>
        <v>151408</v>
      </c>
      <c r="D23" s="444">
        <f>C23/C21</f>
        <v>0.34133650755003675</v>
      </c>
      <c r="E23" s="443">
        <f>GETPIVOTDATA("dato",'[1]tabla dinámica municipios'!$A$4,"indicador","TOTAL","categoría","Extrahoteleros","municipio","Puerto de la Cruz","año",2010)</f>
        <v>130709</v>
      </c>
      <c r="F23" s="444">
        <f>E23/E21</f>
        <v>0.31494702652167733</v>
      </c>
      <c r="G23" s="442">
        <f>(E23-C23)/C23</f>
        <v>-0.13671008136954454</v>
      </c>
    </row>
    <row r="24" spans="2:12" ht="15" customHeight="1">
      <c r="B24" s="98" t="s">
        <v>307</v>
      </c>
      <c r="C24" s="435"/>
      <c r="D24" s="435"/>
      <c r="E24" s="435"/>
      <c r="F24" s="435"/>
      <c r="G24" s="436"/>
    </row>
    <row r="25" spans="2:12">
      <c r="B25" s="111" t="s">
        <v>302</v>
      </c>
      <c r="C25" s="437">
        <f>GETPIVOTDATA("dato",'[1]tabla dinámica municipios'!$A$4,"indicador","TOTAL","categoría","TOTAL","municipio","SANTA CRUZ","año",2009)</f>
        <v>95588</v>
      </c>
      <c r="D25" s="438">
        <f>C25/C25</f>
        <v>1</v>
      </c>
      <c r="E25" s="437">
        <f>GETPIVOTDATA("dato",'[1]tabla dinámica municipios'!$A$4,"indicador","TOTAL","categoría","TOTAL","municipio","SANTA CRUZ","año",2010)</f>
        <v>92816</v>
      </c>
      <c r="F25" s="438">
        <f>E25/E25</f>
        <v>1</v>
      </c>
      <c r="G25" s="445">
        <f>(E25-C25)/C25</f>
        <v>-2.8999455998660918E-2</v>
      </c>
    </row>
    <row r="26" spans="2:12">
      <c r="B26" s="111" t="s">
        <v>303</v>
      </c>
      <c r="C26" s="440">
        <f>GETPIVOTDATA("dato",'[1]tabla dinámica municipios'!$A$4,"indicador","TOTAL","categoría","Hoteleros","municipio","SANTA CRUZ","año",2009)</f>
        <v>95588</v>
      </c>
      <c r="D26" s="441">
        <f>C26/C25</f>
        <v>1</v>
      </c>
      <c r="E26" s="440">
        <f>GETPIVOTDATA("dato",'[1]tabla dinámica municipios'!$A$4,"indicador","TOTAL","categoría","Hoteleros","municipio","SANTA CRUZ","año",2010)</f>
        <v>92816</v>
      </c>
      <c r="F26" s="441">
        <f>E26/E25</f>
        <v>1</v>
      </c>
      <c r="G26" s="446">
        <f>(E26-C26)/C26</f>
        <v>-2.8999455998660918E-2</v>
      </c>
    </row>
    <row r="27" spans="2:12">
      <c r="B27" s="111" t="s">
        <v>304</v>
      </c>
      <c r="C27" s="443">
        <f>GETPIVOTDATA("dato",'[1]tabla dinámica municipios'!$A$4,"indicador","TOTAL","categoría","Extrahoteleros","municipio","SANTA CRUZ","año",2009)</f>
        <v>0</v>
      </c>
      <c r="D27" s="444">
        <f>C27/C25</f>
        <v>0</v>
      </c>
      <c r="E27" s="443">
        <f>GETPIVOTDATA("dato",'[1]tabla dinámica municipios'!$A$4,"indicador","TOTAL","categoría","Extrahoteleros","municipio","SANTA CRUZ","año",2010)</f>
        <v>0</v>
      </c>
      <c r="F27" s="444">
        <f>E27/E25</f>
        <v>0</v>
      </c>
      <c r="G27" s="446" t="str">
        <f>IFERROR((E27-C27)/C27,"-")</f>
        <v>-</v>
      </c>
    </row>
    <row r="28" spans="2:12" ht="14.25" customHeight="1">
      <c r="B28" s="114" t="s">
        <v>32</v>
      </c>
      <c r="C28" s="115"/>
      <c r="D28" s="115"/>
      <c r="E28" s="115"/>
      <c r="F28" s="115"/>
      <c r="G28" s="116"/>
    </row>
    <row r="29" spans="2:12" ht="15" customHeight="1" thickBot="1"/>
    <row r="30" spans="2:12" ht="30" customHeight="1" thickBot="1">
      <c r="B30" s="46"/>
      <c r="C30" s="46"/>
      <c r="D30" s="46"/>
      <c r="E30" s="46"/>
      <c r="F30" s="46"/>
      <c r="G30" s="60" t="s">
        <v>49</v>
      </c>
      <c r="H30" s="46"/>
      <c r="I30" s="46"/>
      <c r="J30" s="46"/>
      <c r="K30" s="46"/>
      <c r="L30" s="46"/>
    </row>
  </sheetData>
  <mergeCells count="2">
    <mergeCell ref="B6:G6"/>
    <mergeCell ref="B28:G28"/>
  </mergeCells>
  <hyperlinks>
    <hyperlink ref="G30" location="'Gráfica alojados municipio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>
  <sheetPr codeName="Hoja24">
    <tabColor rgb="FF000099"/>
    <pageSetUpPr autoPageBreaks="0" fitToPage="1"/>
  </sheetPr>
  <dimension ref="B27:L31"/>
  <sheetViews>
    <sheetView showGridLines="0" showRowColHeaders="0" showOutlineSymbols="0" zoomScaleNormal="100" workbookViewId="0">
      <selection activeCell="B25" sqref="B25"/>
    </sheetView>
  </sheetViews>
  <sheetFormatPr baseColWidth="10" defaultRowHeight="12.75"/>
  <cols>
    <col min="1" max="1" width="18.5703125" style="23" customWidth="1"/>
    <col min="2" max="8" width="11.42578125" style="23"/>
    <col min="9" max="9" width="12.85546875" style="23" customWidth="1"/>
    <col min="10" max="33" width="11.42578125" style="23"/>
    <col min="34" max="34" width="13.85546875" style="23" customWidth="1"/>
    <col min="35" max="264" width="11.42578125" style="23"/>
    <col min="265" max="265" width="12.85546875" style="23" customWidth="1"/>
    <col min="266" max="289" width="11.42578125" style="23"/>
    <col min="290" max="290" width="13.85546875" style="23" customWidth="1"/>
    <col min="291" max="520" width="11.42578125" style="23"/>
    <col min="521" max="521" width="12.85546875" style="23" customWidth="1"/>
    <col min="522" max="545" width="11.42578125" style="23"/>
    <col min="546" max="546" width="13.85546875" style="23" customWidth="1"/>
    <col min="547" max="776" width="11.42578125" style="23"/>
    <col min="777" max="777" width="12.85546875" style="23" customWidth="1"/>
    <col min="778" max="801" width="11.42578125" style="23"/>
    <col min="802" max="802" width="13.85546875" style="23" customWidth="1"/>
    <col min="803" max="1032" width="11.42578125" style="23"/>
    <col min="1033" max="1033" width="12.85546875" style="23" customWidth="1"/>
    <col min="1034" max="1057" width="11.42578125" style="23"/>
    <col min="1058" max="1058" width="13.85546875" style="23" customWidth="1"/>
    <col min="1059" max="1288" width="11.42578125" style="23"/>
    <col min="1289" max="1289" width="12.85546875" style="23" customWidth="1"/>
    <col min="1290" max="1313" width="11.42578125" style="23"/>
    <col min="1314" max="1314" width="13.85546875" style="23" customWidth="1"/>
    <col min="1315" max="1544" width="11.42578125" style="23"/>
    <col min="1545" max="1545" width="12.85546875" style="23" customWidth="1"/>
    <col min="1546" max="1569" width="11.42578125" style="23"/>
    <col min="1570" max="1570" width="13.85546875" style="23" customWidth="1"/>
    <col min="1571" max="1800" width="11.42578125" style="23"/>
    <col min="1801" max="1801" width="12.85546875" style="23" customWidth="1"/>
    <col min="1802" max="1825" width="11.42578125" style="23"/>
    <col min="1826" max="1826" width="13.85546875" style="23" customWidth="1"/>
    <col min="1827" max="2056" width="11.42578125" style="23"/>
    <col min="2057" max="2057" width="12.85546875" style="23" customWidth="1"/>
    <col min="2058" max="2081" width="11.42578125" style="23"/>
    <col min="2082" max="2082" width="13.85546875" style="23" customWidth="1"/>
    <col min="2083" max="2312" width="11.42578125" style="23"/>
    <col min="2313" max="2313" width="12.85546875" style="23" customWidth="1"/>
    <col min="2314" max="2337" width="11.42578125" style="23"/>
    <col min="2338" max="2338" width="13.85546875" style="23" customWidth="1"/>
    <col min="2339" max="2568" width="11.42578125" style="23"/>
    <col min="2569" max="2569" width="12.85546875" style="23" customWidth="1"/>
    <col min="2570" max="2593" width="11.42578125" style="23"/>
    <col min="2594" max="2594" width="13.85546875" style="23" customWidth="1"/>
    <col min="2595" max="2824" width="11.42578125" style="23"/>
    <col min="2825" max="2825" width="12.85546875" style="23" customWidth="1"/>
    <col min="2826" max="2849" width="11.42578125" style="23"/>
    <col min="2850" max="2850" width="13.85546875" style="23" customWidth="1"/>
    <col min="2851" max="3080" width="11.42578125" style="23"/>
    <col min="3081" max="3081" width="12.85546875" style="23" customWidth="1"/>
    <col min="3082" max="3105" width="11.42578125" style="23"/>
    <col min="3106" max="3106" width="13.85546875" style="23" customWidth="1"/>
    <col min="3107" max="3336" width="11.42578125" style="23"/>
    <col min="3337" max="3337" width="12.85546875" style="23" customWidth="1"/>
    <col min="3338" max="3361" width="11.42578125" style="23"/>
    <col min="3362" max="3362" width="13.85546875" style="23" customWidth="1"/>
    <col min="3363" max="3592" width="11.42578125" style="23"/>
    <col min="3593" max="3593" width="12.85546875" style="23" customWidth="1"/>
    <col min="3594" max="3617" width="11.42578125" style="23"/>
    <col min="3618" max="3618" width="13.85546875" style="23" customWidth="1"/>
    <col min="3619" max="3848" width="11.42578125" style="23"/>
    <col min="3849" max="3849" width="12.85546875" style="23" customWidth="1"/>
    <col min="3850" max="3873" width="11.42578125" style="23"/>
    <col min="3874" max="3874" width="13.85546875" style="23" customWidth="1"/>
    <col min="3875" max="4104" width="11.42578125" style="23"/>
    <col min="4105" max="4105" width="12.85546875" style="23" customWidth="1"/>
    <col min="4106" max="4129" width="11.42578125" style="23"/>
    <col min="4130" max="4130" width="13.85546875" style="23" customWidth="1"/>
    <col min="4131" max="4360" width="11.42578125" style="23"/>
    <col min="4361" max="4361" width="12.85546875" style="23" customWidth="1"/>
    <col min="4362" max="4385" width="11.42578125" style="23"/>
    <col min="4386" max="4386" width="13.85546875" style="23" customWidth="1"/>
    <col min="4387" max="4616" width="11.42578125" style="23"/>
    <col min="4617" max="4617" width="12.85546875" style="23" customWidth="1"/>
    <col min="4618" max="4641" width="11.42578125" style="23"/>
    <col min="4642" max="4642" width="13.85546875" style="23" customWidth="1"/>
    <col min="4643" max="4872" width="11.42578125" style="23"/>
    <col min="4873" max="4873" width="12.85546875" style="23" customWidth="1"/>
    <col min="4874" max="4897" width="11.42578125" style="23"/>
    <col min="4898" max="4898" width="13.85546875" style="23" customWidth="1"/>
    <col min="4899" max="5128" width="11.42578125" style="23"/>
    <col min="5129" max="5129" width="12.85546875" style="23" customWidth="1"/>
    <col min="5130" max="5153" width="11.42578125" style="23"/>
    <col min="5154" max="5154" width="13.85546875" style="23" customWidth="1"/>
    <col min="5155" max="5384" width="11.42578125" style="23"/>
    <col min="5385" max="5385" width="12.85546875" style="23" customWidth="1"/>
    <col min="5386" max="5409" width="11.42578125" style="23"/>
    <col min="5410" max="5410" width="13.85546875" style="23" customWidth="1"/>
    <col min="5411" max="5640" width="11.42578125" style="23"/>
    <col min="5641" max="5641" width="12.85546875" style="23" customWidth="1"/>
    <col min="5642" max="5665" width="11.42578125" style="23"/>
    <col min="5666" max="5666" width="13.85546875" style="23" customWidth="1"/>
    <col min="5667" max="5896" width="11.42578125" style="23"/>
    <col min="5897" max="5897" width="12.85546875" style="23" customWidth="1"/>
    <col min="5898" max="5921" width="11.42578125" style="23"/>
    <col min="5922" max="5922" width="13.85546875" style="23" customWidth="1"/>
    <col min="5923" max="6152" width="11.42578125" style="23"/>
    <col min="6153" max="6153" width="12.85546875" style="23" customWidth="1"/>
    <col min="6154" max="6177" width="11.42578125" style="23"/>
    <col min="6178" max="6178" width="13.85546875" style="23" customWidth="1"/>
    <col min="6179" max="6408" width="11.42578125" style="23"/>
    <col min="6409" max="6409" width="12.85546875" style="23" customWidth="1"/>
    <col min="6410" max="6433" width="11.42578125" style="23"/>
    <col min="6434" max="6434" width="13.85546875" style="23" customWidth="1"/>
    <col min="6435" max="6664" width="11.42578125" style="23"/>
    <col min="6665" max="6665" width="12.85546875" style="23" customWidth="1"/>
    <col min="6666" max="6689" width="11.42578125" style="23"/>
    <col min="6690" max="6690" width="13.85546875" style="23" customWidth="1"/>
    <col min="6691" max="6920" width="11.42578125" style="23"/>
    <col min="6921" max="6921" width="12.85546875" style="23" customWidth="1"/>
    <col min="6922" max="6945" width="11.42578125" style="23"/>
    <col min="6946" max="6946" width="13.85546875" style="23" customWidth="1"/>
    <col min="6947" max="7176" width="11.42578125" style="23"/>
    <col min="7177" max="7177" width="12.85546875" style="23" customWidth="1"/>
    <col min="7178" max="7201" width="11.42578125" style="23"/>
    <col min="7202" max="7202" width="13.85546875" style="23" customWidth="1"/>
    <col min="7203" max="7432" width="11.42578125" style="23"/>
    <col min="7433" max="7433" width="12.85546875" style="23" customWidth="1"/>
    <col min="7434" max="7457" width="11.42578125" style="23"/>
    <col min="7458" max="7458" width="13.85546875" style="23" customWidth="1"/>
    <col min="7459" max="7688" width="11.42578125" style="23"/>
    <col min="7689" max="7689" width="12.85546875" style="23" customWidth="1"/>
    <col min="7690" max="7713" width="11.42578125" style="23"/>
    <col min="7714" max="7714" width="13.85546875" style="23" customWidth="1"/>
    <col min="7715" max="7944" width="11.42578125" style="23"/>
    <col min="7945" max="7945" width="12.85546875" style="23" customWidth="1"/>
    <col min="7946" max="7969" width="11.42578125" style="23"/>
    <col min="7970" max="7970" width="13.85546875" style="23" customWidth="1"/>
    <col min="7971" max="8200" width="11.42578125" style="23"/>
    <col min="8201" max="8201" width="12.85546875" style="23" customWidth="1"/>
    <col min="8202" max="8225" width="11.42578125" style="23"/>
    <col min="8226" max="8226" width="13.85546875" style="23" customWidth="1"/>
    <col min="8227" max="8456" width="11.42578125" style="23"/>
    <col min="8457" max="8457" width="12.85546875" style="23" customWidth="1"/>
    <col min="8458" max="8481" width="11.42578125" style="23"/>
    <col min="8482" max="8482" width="13.85546875" style="23" customWidth="1"/>
    <col min="8483" max="8712" width="11.42578125" style="23"/>
    <col min="8713" max="8713" width="12.85546875" style="23" customWidth="1"/>
    <col min="8714" max="8737" width="11.42578125" style="23"/>
    <col min="8738" max="8738" width="13.85546875" style="23" customWidth="1"/>
    <col min="8739" max="8968" width="11.42578125" style="23"/>
    <col min="8969" max="8969" width="12.85546875" style="23" customWidth="1"/>
    <col min="8970" max="8993" width="11.42578125" style="23"/>
    <col min="8994" max="8994" width="13.85546875" style="23" customWidth="1"/>
    <col min="8995" max="9224" width="11.42578125" style="23"/>
    <col min="9225" max="9225" width="12.85546875" style="23" customWidth="1"/>
    <col min="9226" max="9249" width="11.42578125" style="23"/>
    <col min="9250" max="9250" width="13.85546875" style="23" customWidth="1"/>
    <col min="9251" max="9480" width="11.42578125" style="23"/>
    <col min="9481" max="9481" width="12.85546875" style="23" customWidth="1"/>
    <col min="9482" max="9505" width="11.42578125" style="23"/>
    <col min="9506" max="9506" width="13.85546875" style="23" customWidth="1"/>
    <col min="9507" max="9736" width="11.42578125" style="23"/>
    <col min="9737" max="9737" width="12.85546875" style="23" customWidth="1"/>
    <col min="9738" max="9761" width="11.42578125" style="23"/>
    <col min="9762" max="9762" width="13.85546875" style="23" customWidth="1"/>
    <col min="9763" max="9992" width="11.42578125" style="23"/>
    <col min="9993" max="9993" width="12.85546875" style="23" customWidth="1"/>
    <col min="9994" max="10017" width="11.42578125" style="23"/>
    <col min="10018" max="10018" width="13.85546875" style="23" customWidth="1"/>
    <col min="10019" max="10248" width="11.42578125" style="23"/>
    <col min="10249" max="10249" width="12.85546875" style="23" customWidth="1"/>
    <col min="10250" max="10273" width="11.42578125" style="23"/>
    <col min="10274" max="10274" width="13.85546875" style="23" customWidth="1"/>
    <col min="10275" max="10504" width="11.42578125" style="23"/>
    <col min="10505" max="10505" width="12.85546875" style="23" customWidth="1"/>
    <col min="10506" max="10529" width="11.42578125" style="23"/>
    <col min="10530" max="10530" width="13.85546875" style="23" customWidth="1"/>
    <col min="10531" max="10760" width="11.42578125" style="23"/>
    <col min="10761" max="10761" width="12.85546875" style="23" customWidth="1"/>
    <col min="10762" max="10785" width="11.42578125" style="23"/>
    <col min="10786" max="10786" width="13.85546875" style="23" customWidth="1"/>
    <col min="10787" max="11016" width="11.42578125" style="23"/>
    <col min="11017" max="11017" width="12.85546875" style="23" customWidth="1"/>
    <col min="11018" max="11041" width="11.42578125" style="23"/>
    <col min="11042" max="11042" width="13.85546875" style="23" customWidth="1"/>
    <col min="11043" max="11272" width="11.42578125" style="23"/>
    <col min="11273" max="11273" width="12.85546875" style="23" customWidth="1"/>
    <col min="11274" max="11297" width="11.42578125" style="23"/>
    <col min="11298" max="11298" width="13.85546875" style="23" customWidth="1"/>
    <col min="11299" max="11528" width="11.42578125" style="23"/>
    <col min="11529" max="11529" width="12.85546875" style="23" customWidth="1"/>
    <col min="11530" max="11553" width="11.42578125" style="23"/>
    <col min="11554" max="11554" width="13.85546875" style="23" customWidth="1"/>
    <col min="11555" max="11784" width="11.42578125" style="23"/>
    <col min="11785" max="11785" width="12.85546875" style="23" customWidth="1"/>
    <col min="11786" max="11809" width="11.42578125" style="23"/>
    <col min="11810" max="11810" width="13.85546875" style="23" customWidth="1"/>
    <col min="11811" max="12040" width="11.42578125" style="23"/>
    <col min="12041" max="12041" width="12.85546875" style="23" customWidth="1"/>
    <col min="12042" max="12065" width="11.42578125" style="23"/>
    <col min="12066" max="12066" width="13.85546875" style="23" customWidth="1"/>
    <col min="12067" max="12296" width="11.42578125" style="23"/>
    <col min="12297" max="12297" width="12.85546875" style="23" customWidth="1"/>
    <col min="12298" max="12321" width="11.42578125" style="23"/>
    <col min="12322" max="12322" width="13.85546875" style="23" customWidth="1"/>
    <col min="12323" max="12552" width="11.42578125" style="23"/>
    <col min="12553" max="12553" width="12.85546875" style="23" customWidth="1"/>
    <col min="12554" max="12577" width="11.42578125" style="23"/>
    <col min="12578" max="12578" width="13.85546875" style="23" customWidth="1"/>
    <col min="12579" max="12808" width="11.42578125" style="23"/>
    <col min="12809" max="12809" width="12.85546875" style="23" customWidth="1"/>
    <col min="12810" max="12833" width="11.42578125" style="23"/>
    <col min="12834" max="12834" width="13.85546875" style="23" customWidth="1"/>
    <col min="12835" max="13064" width="11.42578125" style="23"/>
    <col min="13065" max="13065" width="12.85546875" style="23" customWidth="1"/>
    <col min="13066" max="13089" width="11.42578125" style="23"/>
    <col min="13090" max="13090" width="13.85546875" style="23" customWidth="1"/>
    <col min="13091" max="13320" width="11.42578125" style="23"/>
    <col min="13321" max="13321" width="12.85546875" style="23" customWidth="1"/>
    <col min="13322" max="13345" width="11.42578125" style="23"/>
    <col min="13346" max="13346" width="13.85546875" style="23" customWidth="1"/>
    <col min="13347" max="13576" width="11.42578125" style="23"/>
    <col min="13577" max="13577" width="12.85546875" style="23" customWidth="1"/>
    <col min="13578" max="13601" width="11.42578125" style="23"/>
    <col min="13602" max="13602" width="13.85546875" style="23" customWidth="1"/>
    <col min="13603" max="13832" width="11.42578125" style="23"/>
    <col min="13833" max="13833" width="12.85546875" style="23" customWidth="1"/>
    <col min="13834" max="13857" width="11.42578125" style="23"/>
    <col min="13858" max="13858" width="13.85546875" style="23" customWidth="1"/>
    <col min="13859" max="14088" width="11.42578125" style="23"/>
    <col min="14089" max="14089" width="12.85546875" style="23" customWidth="1"/>
    <col min="14090" max="14113" width="11.42578125" style="23"/>
    <col min="14114" max="14114" width="13.85546875" style="23" customWidth="1"/>
    <col min="14115" max="14344" width="11.42578125" style="23"/>
    <col min="14345" max="14345" width="12.85546875" style="23" customWidth="1"/>
    <col min="14346" max="14369" width="11.42578125" style="23"/>
    <col min="14370" max="14370" width="13.85546875" style="23" customWidth="1"/>
    <col min="14371" max="14600" width="11.42578125" style="23"/>
    <col min="14601" max="14601" width="12.85546875" style="23" customWidth="1"/>
    <col min="14602" max="14625" width="11.42578125" style="23"/>
    <col min="14626" max="14626" width="13.85546875" style="23" customWidth="1"/>
    <col min="14627" max="14856" width="11.42578125" style="23"/>
    <col min="14857" max="14857" width="12.85546875" style="23" customWidth="1"/>
    <col min="14858" max="14881" width="11.42578125" style="23"/>
    <col min="14882" max="14882" width="13.85546875" style="23" customWidth="1"/>
    <col min="14883" max="15112" width="11.42578125" style="23"/>
    <col min="15113" max="15113" width="12.85546875" style="23" customWidth="1"/>
    <col min="15114" max="15137" width="11.42578125" style="23"/>
    <col min="15138" max="15138" width="13.85546875" style="23" customWidth="1"/>
    <col min="15139" max="15368" width="11.42578125" style="23"/>
    <col min="15369" max="15369" width="12.85546875" style="23" customWidth="1"/>
    <col min="15370" max="15393" width="11.42578125" style="23"/>
    <col min="15394" max="15394" width="13.85546875" style="23" customWidth="1"/>
    <col min="15395" max="15624" width="11.42578125" style="23"/>
    <col min="15625" max="15625" width="12.85546875" style="23" customWidth="1"/>
    <col min="15626" max="15649" width="11.42578125" style="23"/>
    <col min="15650" max="15650" width="13.85546875" style="23" customWidth="1"/>
    <col min="15651" max="15880" width="11.42578125" style="23"/>
    <col min="15881" max="15881" width="12.85546875" style="23" customWidth="1"/>
    <col min="15882" max="15905" width="11.42578125" style="23"/>
    <col min="15906" max="15906" width="13.85546875" style="23" customWidth="1"/>
    <col min="15907" max="16136" width="11.42578125" style="23"/>
    <col min="16137" max="16137" width="12.85546875" style="23" customWidth="1"/>
    <col min="16138" max="16161" width="11.42578125" style="23"/>
    <col min="16162" max="16162" width="13.85546875" style="23" customWidth="1"/>
    <col min="16163" max="16384" width="11.42578125" style="23"/>
  </cols>
  <sheetData>
    <row r="27" spans="2:12" ht="12.75" customHeight="1"/>
    <row r="28" spans="2:12"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</row>
    <row r="29" spans="2:12" ht="24.95" customHeight="1">
      <c r="B29" s="46"/>
      <c r="C29" s="46"/>
      <c r="D29" s="46"/>
      <c r="E29" s="46"/>
      <c r="F29" s="46"/>
      <c r="G29" s="46"/>
      <c r="H29" s="46"/>
      <c r="I29" s="46"/>
      <c r="J29" s="46"/>
      <c r="K29" s="46"/>
    </row>
    <row r="30" spans="2:12" ht="15" customHeight="1" thickBot="1"/>
    <row r="31" spans="2:12" ht="30" customHeight="1" thickBot="1">
      <c r="I31" s="60" t="s">
        <v>51</v>
      </c>
    </row>
  </sheetData>
  <hyperlinks>
    <hyperlink ref="I31" location="'Alojados por municipi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colBreaks count="1" manualBreakCount="1">
    <brk id="26" max="41" man="1"/>
  </colBreaks>
  <drawing r:id="rId2"/>
  <legacyDrawingHF r:id="rId3"/>
</worksheet>
</file>

<file path=xl/worksheets/sheet75.xml><?xml version="1.0" encoding="utf-8"?>
<worksheet xmlns="http://schemas.openxmlformats.org/spreadsheetml/2006/main" xmlns:r="http://schemas.openxmlformats.org/officeDocument/2006/relationships">
  <sheetPr codeName="Hoja14">
    <tabColor rgb="FF000099"/>
    <pageSetUpPr autoPageBreaks="0" fitToPage="1"/>
  </sheetPr>
  <dimension ref="B1:P33"/>
  <sheetViews>
    <sheetView showGridLines="0" showRowColHeaders="0" showOutlineSymbols="0" zoomScaleNormal="100" workbookViewId="0">
      <selection activeCell="B25" sqref="B25"/>
    </sheetView>
  </sheetViews>
  <sheetFormatPr baseColWidth="10" defaultRowHeight="12.75"/>
  <cols>
    <col min="1" max="1" width="11.42578125" style="23"/>
    <col min="2" max="2" width="28.85546875" style="23" customWidth="1"/>
    <col min="3" max="3" width="12.7109375" style="23" customWidth="1"/>
    <col min="4" max="4" width="10.7109375" style="23" customWidth="1"/>
    <col min="5" max="5" width="12.7109375" style="23" customWidth="1"/>
    <col min="6" max="7" width="10.7109375" style="23" customWidth="1"/>
    <col min="8" max="8" width="11.42578125" style="23"/>
    <col min="9" max="9" width="28.7109375" style="23" customWidth="1"/>
    <col min="10" max="14" width="11.42578125" style="23"/>
    <col min="15" max="15" width="13.28515625" style="23" customWidth="1"/>
    <col min="16" max="257" width="11.42578125" style="23"/>
    <col min="258" max="258" width="36.7109375" style="23" customWidth="1"/>
    <col min="259" max="259" width="12.7109375" style="23" customWidth="1"/>
    <col min="260" max="260" width="10.7109375" style="23" customWidth="1"/>
    <col min="261" max="261" width="12.7109375" style="23" customWidth="1"/>
    <col min="262" max="263" width="10.7109375" style="23" customWidth="1"/>
    <col min="264" max="270" width="11.42578125" style="23"/>
    <col min="271" max="271" width="13.28515625" style="23" customWidth="1"/>
    <col min="272" max="513" width="11.42578125" style="23"/>
    <col min="514" max="514" width="36.7109375" style="23" customWidth="1"/>
    <col min="515" max="515" width="12.7109375" style="23" customWidth="1"/>
    <col min="516" max="516" width="10.7109375" style="23" customWidth="1"/>
    <col min="517" max="517" width="12.7109375" style="23" customWidth="1"/>
    <col min="518" max="519" width="10.7109375" style="23" customWidth="1"/>
    <col min="520" max="526" width="11.42578125" style="23"/>
    <col min="527" max="527" width="13.28515625" style="23" customWidth="1"/>
    <col min="528" max="769" width="11.42578125" style="23"/>
    <col min="770" max="770" width="36.7109375" style="23" customWidth="1"/>
    <col min="771" max="771" width="12.7109375" style="23" customWidth="1"/>
    <col min="772" max="772" width="10.7109375" style="23" customWidth="1"/>
    <col min="773" max="773" width="12.7109375" style="23" customWidth="1"/>
    <col min="774" max="775" width="10.7109375" style="23" customWidth="1"/>
    <col min="776" max="782" width="11.42578125" style="23"/>
    <col min="783" max="783" width="13.28515625" style="23" customWidth="1"/>
    <col min="784" max="1025" width="11.42578125" style="23"/>
    <col min="1026" max="1026" width="36.7109375" style="23" customWidth="1"/>
    <col min="1027" max="1027" width="12.7109375" style="23" customWidth="1"/>
    <col min="1028" max="1028" width="10.7109375" style="23" customWidth="1"/>
    <col min="1029" max="1029" width="12.7109375" style="23" customWidth="1"/>
    <col min="1030" max="1031" width="10.7109375" style="23" customWidth="1"/>
    <col min="1032" max="1038" width="11.42578125" style="23"/>
    <col min="1039" max="1039" width="13.28515625" style="23" customWidth="1"/>
    <col min="1040" max="1281" width="11.42578125" style="23"/>
    <col min="1282" max="1282" width="36.7109375" style="23" customWidth="1"/>
    <col min="1283" max="1283" width="12.7109375" style="23" customWidth="1"/>
    <col min="1284" max="1284" width="10.7109375" style="23" customWidth="1"/>
    <col min="1285" max="1285" width="12.7109375" style="23" customWidth="1"/>
    <col min="1286" max="1287" width="10.7109375" style="23" customWidth="1"/>
    <col min="1288" max="1294" width="11.42578125" style="23"/>
    <col min="1295" max="1295" width="13.28515625" style="23" customWidth="1"/>
    <col min="1296" max="1537" width="11.42578125" style="23"/>
    <col min="1538" max="1538" width="36.7109375" style="23" customWidth="1"/>
    <col min="1539" max="1539" width="12.7109375" style="23" customWidth="1"/>
    <col min="1540" max="1540" width="10.7109375" style="23" customWidth="1"/>
    <col min="1541" max="1541" width="12.7109375" style="23" customWidth="1"/>
    <col min="1542" max="1543" width="10.7109375" style="23" customWidth="1"/>
    <col min="1544" max="1550" width="11.42578125" style="23"/>
    <col min="1551" max="1551" width="13.28515625" style="23" customWidth="1"/>
    <col min="1552" max="1793" width="11.42578125" style="23"/>
    <col min="1794" max="1794" width="36.7109375" style="23" customWidth="1"/>
    <col min="1795" max="1795" width="12.7109375" style="23" customWidth="1"/>
    <col min="1796" max="1796" width="10.7109375" style="23" customWidth="1"/>
    <col min="1797" max="1797" width="12.7109375" style="23" customWidth="1"/>
    <col min="1798" max="1799" width="10.7109375" style="23" customWidth="1"/>
    <col min="1800" max="1806" width="11.42578125" style="23"/>
    <col min="1807" max="1807" width="13.28515625" style="23" customWidth="1"/>
    <col min="1808" max="2049" width="11.42578125" style="23"/>
    <col min="2050" max="2050" width="36.7109375" style="23" customWidth="1"/>
    <col min="2051" max="2051" width="12.7109375" style="23" customWidth="1"/>
    <col min="2052" max="2052" width="10.7109375" style="23" customWidth="1"/>
    <col min="2053" max="2053" width="12.7109375" style="23" customWidth="1"/>
    <col min="2054" max="2055" width="10.7109375" style="23" customWidth="1"/>
    <col min="2056" max="2062" width="11.42578125" style="23"/>
    <col min="2063" max="2063" width="13.28515625" style="23" customWidth="1"/>
    <col min="2064" max="2305" width="11.42578125" style="23"/>
    <col min="2306" max="2306" width="36.7109375" style="23" customWidth="1"/>
    <col min="2307" max="2307" width="12.7109375" style="23" customWidth="1"/>
    <col min="2308" max="2308" width="10.7109375" style="23" customWidth="1"/>
    <col min="2309" max="2309" width="12.7109375" style="23" customWidth="1"/>
    <col min="2310" max="2311" width="10.7109375" style="23" customWidth="1"/>
    <col min="2312" max="2318" width="11.42578125" style="23"/>
    <col min="2319" max="2319" width="13.28515625" style="23" customWidth="1"/>
    <col min="2320" max="2561" width="11.42578125" style="23"/>
    <col min="2562" max="2562" width="36.7109375" style="23" customWidth="1"/>
    <col min="2563" max="2563" width="12.7109375" style="23" customWidth="1"/>
    <col min="2564" max="2564" width="10.7109375" style="23" customWidth="1"/>
    <col min="2565" max="2565" width="12.7109375" style="23" customWidth="1"/>
    <col min="2566" max="2567" width="10.7109375" style="23" customWidth="1"/>
    <col min="2568" max="2574" width="11.42578125" style="23"/>
    <col min="2575" max="2575" width="13.28515625" style="23" customWidth="1"/>
    <col min="2576" max="2817" width="11.42578125" style="23"/>
    <col min="2818" max="2818" width="36.7109375" style="23" customWidth="1"/>
    <col min="2819" max="2819" width="12.7109375" style="23" customWidth="1"/>
    <col min="2820" max="2820" width="10.7109375" style="23" customWidth="1"/>
    <col min="2821" max="2821" width="12.7109375" style="23" customWidth="1"/>
    <col min="2822" max="2823" width="10.7109375" style="23" customWidth="1"/>
    <col min="2824" max="2830" width="11.42578125" style="23"/>
    <col min="2831" max="2831" width="13.28515625" style="23" customWidth="1"/>
    <col min="2832" max="3073" width="11.42578125" style="23"/>
    <col min="3074" max="3074" width="36.7109375" style="23" customWidth="1"/>
    <col min="3075" max="3075" width="12.7109375" style="23" customWidth="1"/>
    <col min="3076" max="3076" width="10.7109375" style="23" customWidth="1"/>
    <col min="3077" max="3077" width="12.7109375" style="23" customWidth="1"/>
    <col min="3078" max="3079" width="10.7109375" style="23" customWidth="1"/>
    <col min="3080" max="3086" width="11.42578125" style="23"/>
    <col min="3087" max="3087" width="13.28515625" style="23" customWidth="1"/>
    <col min="3088" max="3329" width="11.42578125" style="23"/>
    <col min="3330" max="3330" width="36.7109375" style="23" customWidth="1"/>
    <col min="3331" max="3331" width="12.7109375" style="23" customWidth="1"/>
    <col min="3332" max="3332" width="10.7109375" style="23" customWidth="1"/>
    <col min="3333" max="3333" width="12.7109375" style="23" customWidth="1"/>
    <col min="3334" max="3335" width="10.7109375" style="23" customWidth="1"/>
    <col min="3336" max="3342" width="11.42578125" style="23"/>
    <col min="3343" max="3343" width="13.28515625" style="23" customWidth="1"/>
    <col min="3344" max="3585" width="11.42578125" style="23"/>
    <col min="3586" max="3586" width="36.7109375" style="23" customWidth="1"/>
    <col min="3587" max="3587" width="12.7109375" style="23" customWidth="1"/>
    <col min="3588" max="3588" width="10.7109375" style="23" customWidth="1"/>
    <col min="3589" max="3589" width="12.7109375" style="23" customWidth="1"/>
    <col min="3590" max="3591" width="10.7109375" style="23" customWidth="1"/>
    <col min="3592" max="3598" width="11.42578125" style="23"/>
    <col min="3599" max="3599" width="13.28515625" style="23" customWidth="1"/>
    <col min="3600" max="3841" width="11.42578125" style="23"/>
    <col min="3842" max="3842" width="36.7109375" style="23" customWidth="1"/>
    <col min="3843" max="3843" width="12.7109375" style="23" customWidth="1"/>
    <col min="3844" max="3844" width="10.7109375" style="23" customWidth="1"/>
    <col min="3845" max="3845" width="12.7109375" style="23" customWidth="1"/>
    <col min="3846" max="3847" width="10.7109375" style="23" customWidth="1"/>
    <col min="3848" max="3854" width="11.42578125" style="23"/>
    <col min="3855" max="3855" width="13.28515625" style="23" customWidth="1"/>
    <col min="3856" max="4097" width="11.42578125" style="23"/>
    <col min="4098" max="4098" width="36.7109375" style="23" customWidth="1"/>
    <col min="4099" max="4099" width="12.7109375" style="23" customWidth="1"/>
    <col min="4100" max="4100" width="10.7109375" style="23" customWidth="1"/>
    <col min="4101" max="4101" width="12.7109375" style="23" customWidth="1"/>
    <col min="4102" max="4103" width="10.7109375" style="23" customWidth="1"/>
    <col min="4104" max="4110" width="11.42578125" style="23"/>
    <col min="4111" max="4111" width="13.28515625" style="23" customWidth="1"/>
    <col min="4112" max="4353" width="11.42578125" style="23"/>
    <col min="4354" max="4354" width="36.7109375" style="23" customWidth="1"/>
    <col min="4355" max="4355" width="12.7109375" style="23" customWidth="1"/>
    <col min="4356" max="4356" width="10.7109375" style="23" customWidth="1"/>
    <col min="4357" max="4357" width="12.7109375" style="23" customWidth="1"/>
    <col min="4358" max="4359" width="10.7109375" style="23" customWidth="1"/>
    <col min="4360" max="4366" width="11.42578125" style="23"/>
    <col min="4367" max="4367" width="13.28515625" style="23" customWidth="1"/>
    <col min="4368" max="4609" width="11.42578125" style="23"/>
    <col min="4610" max="4610" width="36.7109375" style="23" customWidth="1"/>
    <col min="4611" max="4611" width="12.7109375" style="23" customWidth="1"/>
    <col min="4612" max="4612" width="10.7109375" style="23" customWidth="1"/>
    <col min="4613" max="4613" width="12.7109375" style="23" customWidth="1"/>
    <col min="4614" max="4615" width="10.7109375" style="23" customWidth="1"/>
    <col min="4616" max="4622" width="11.42578125" style="23"/>
    <col min="4623" max="4623" width="13.28515625" style="23" customWidth="1"/>
    <col min="4624" max="4865" width="11.42578125" style="23"/>
    <col min="4866" max="4866" width="36.7109375" style="23" customWidth="1"/>
    <col min="4867" max="4867" width="12.7109375" style="23" customWidth="1"/>
    <col min="4868" max="4868" width="10.7109375" style="23" customWidth="1"/>
    <col min="4869" max="4869" width="12.7109375" style="23" customWidth="1"/>
    <col min="4870" max="4871" width="10.7109375" style="23" customWidth="1"/>
    <col min="4872" max="4878" width="11.42578125" style="23"/>
    <col min="4879" max="4879" width="13.28515625" style="23" customWidth="1"/>
    <col min="4880" max="5121" width="11.42578125" style="23"/>
    <col min="5122" max="5122" width="36.7109375" style="23" customWidth="1"/>
    <col min="5123" max="5123" width="12.7109375" style="23" customWidth="1"/>
    <col min="5124" max="5124" width="10.7109375" style="23" customWidth="1"/>
    <col min="5125" max="5125" width="12.7109375" style="23" customWidth="1"/>
    <col min="5126" max="5127" width="10.7109375" style="23" customWidth="1"/>
    <col min="5128" max="5134" width="11.42578125" style="23"/>
    <col min="5135" max="5135" width="13.28515625" style="23" customWidth="1"/>
    <col min="5136" max="5377" width="11.42578125" style="23"/>
    <col min="5378" max="5378" width="36.7109375" style="23" customWidth="1"/>
    <col min="5379" max="5379" width="12.7109375" style="23" customWidth="1"/>
    <col min="5380" max="5380" width="10.7109375" style="23" customWidth="1"/>
    <col min="5381" max="5381" width="12.7109375" style="23" customWidth="1"/>
    <col min="5382" max="5383" width="10.7109375" style="23" customWidth="1"/>
    <col min="5384" max="5390" width="11.42578125" style="23"/>
    <col min="5391" max="5391" width="13.28515625" style="23" customWidth="1"/>
    <col min="5392" max="5633" width="11.42578125" style="23"/>
    <col min="5634" max="5634" width="36.7109375" style="23" customWidth="1"/>
    <col min="5635" max="5635" width="12.7109375" style="23" customWidth="1"/>
    <col min="5636" max="5636" width="10.7109375" style="23" customWidth="1"/>
    <col min="5637" max="5637" width="12.7109375" style="23" customWidth="1"/>
    <col min="5638" max="5639" width="10.7109375" style="23" customWidth="1"/>
    <col min="5640" max="5646" width="11.42578125" style="23"/>
    <col min="5647" max="5647" width="13.28515625" style="23" customWidth="1"/>
    <col min="5648" max="5889" width="11.42578125" style="23"/>
    <col min="5890" max="5890" width="36.7109375" style="23" customWidth="1"/>
    <col min="5891" max="5891" width="12.7109375" style="23" customWidth="1"/>
    <col min="5892" max="5892" width="10.7109375" style="23" customWidth="1"/>
    <col min="5893" max="5893" width="12.7109375" style="23" customWidth="1"/>
    <col min="5894" max="5895" width="10.7109375" style="23" customWidth="1"/>
    <col min="5896" max="5902" width="11.42578125" style="23"/>
    <col min="5903" max="5903" width="13.28515625" style="23" customWidth="1"/>
    <col min="5904" max="6145" width="11.42578125" style="23"/>
    <col min="6146" max="6146" width="36.7109375" style="23" customWidth="1"/>
    <col min="6147" max="6147" width="12.7109375" style="23" customWidth="1"/>
    <col min="6148" max="6148" width="10.7109375" style="23" customWidth="1"/>
    <col min="6149" max="6149" width="12.7109375" style="23" customWidth="1"/>
    <col min="6150" max="6151" width="10.7109375" style="23" customWidth="1"/>
    <col min="6152" max="6158" width="11.42578125" style="23"/>
    <col min="6159" max="6159" width="13.28515625" style="23" customWidth="1"/>
    <col min="6160" max="6401" width="11.42578125" style="23"/>
    <col min="6402" max="6402" width="36.7109375" style="23" customWidth="1"/>
    <col min="6403" max="6403" width="12.7109375" style="23" customWidth="1"/>
    <col min="6404" max="6404" width="10.7109375" style="23" customWidth="1"/>
    <col min="6405" max="6405" width="12.7109375" style="23" customWidth="1"/>
    <col min="6406" max="6407" width="10.7109375" style="23" customWidth="1"/>
    <col min="6408" max="6414" width="11.42578125" style="23"/>
    <col min="6415" max="6415" width="13.28515625" style="23" customWidth="1"/>
    <col min="6416" max="6657" width="11.42578125" style="23"/>
    <col min="6658" max="6658" width="36.7109375" style="23" customWidth="1"/>
    <col min="6659" max="6659" width="12.7109375" style="23" customWidth="1"/>
    <col min="6660" max="6660" width="10.7109375" style="23" customWidth="1"/>
    <col min="6661" max="6661" width="12.7109375" style="23" customWidth="1"/>
    <col min="6662" max="6663" width="10.7109375" style="23" customWidth="1"/>
    <col min="6664" max="6670" width="11.42578125" style="23"/>
    <col min="6671" max="6671" width="13.28515625" style="23" customWidth="1"/>
    <col min="6672" max="6913" width="11.42578125" style="23"/>
    <col min="6914" max="6914" width="36.7109375" style="23" customWidth="1"/>
    <col min="6915" max="6915" width="12.7109375" style="23" customWidth="1"/>
    <col min="6916" max="6916" width="10.7109375" style="23" customWidth="1"/>
    <col min="6917" max="6917" width="12.7109375" style="23" customWidth="1"/>
    <col min="6918" max="6919" width="10.7109375" style="23" customWidth="1"/>
    <col min="6920" max="6926" width="11.42578125" style="23"/>
    <col min="6927" max="6927" width="13.28515625" style="23" customWidth="1"/>
    <col min="6928" max="7169" width="11.42578125" style="23"/>
    <col min="7170" max="7170" width="36.7109375" style="23" customWidth="1"/>
    <col min="7171" max="7171" width="12.7109375" style="23" customWidth="1"/>
    <col min="7172" max="7172" width="10.7109375" style="23" customWidth="1"/>
    <col min="7173" max="7173" width="12.7109375" style="23" customWidth="1"/>
    <col min="7174" max="7175" width="10.7109375" style="23" customWidth="1"/>
    <col min="7176" max="7182" width="11.42578125" style="23"/>
    <col min="7183" max="7183" width="13.28515625" style="23" customWidth="1"/>
    <col min="7184" max="7425" width="11.42578125" style="23"/>
    <col min="7426" max="7426" width="36.7109375" style="23" customWidth="1"/>
    <col min="7427" max="7427" width="12.7109375" style="23" customWidth="1"/>
    <col min="7428" max="7428" width="10.7109375" style="23" customWidth="1"/>
    <col min="7429" max="7429" width="12.7109375" style="23" customWidth="1"/>
    <col min="7430" max="7431" width="10.7109375" style="23" customWidth="1"/>
    <col min="7432" max="7438" width="11.42578125" style="23"/>
    <col min="7439" max="7439" width="13.28515625" style="23" customWidth="1"/>
    <col min="7440" max="7681" width="11.42578125" style="23"/>
    <col min="7682" max="7682" width="36.7109375" style="23" customWidth="1"/>
    <col min="7683" max="7683" width="12.7109375" style="23" customWidth="1"/>
    <col min="7684" max="7684" width="10.7109375" style="23" customWidth="1"/>
    <col min="7685" max="7685" width="12.7109375" style="23" customWidth="1"/>
    <col min="7686" max="7687" width="10.7109375" style="23" customWidth="1"/>
    <col min="7688" max="7694" width="11.42578125" style="23"/>
    <col min="7695" max="7695" width="13.28515625" style="23" customWidth="1"/>
    <col min="7696" max="7937" width="11.42578125" style="23"/>
    <col min="7938" max="7938" width="36.7109375" style="23" customWidth="1"/>
    <col min="7939" max="7939" width="12.7109375" style="23" customWidth="1"/>
    <col min="7940" max="7940" width="10.7109375" style="23" customWidth="1"/>
    <col min="7941" max="7941" width="12.7109375" style="23" customWidth="1"/>
    <col min="7942" max="7943" width="10.7109375" style="23" customWidth="1"/>
    <col min="7944" max="7950" width="11.42578125" style="23"/>
    <col min="7951" max="7951" width="13.28515625" style="23" customWidth="1"/>
    <col min="7952" max="8193" width="11.42578125" style="23"/>
    <col min="8194" max="8194" width="36.7109375" style="23" customWidth="1"/>
    <col min="8195" max="8195" width="12.7109375" style="23" customWidth="1"/>
    <col min="8196" max="8196" width="10.7109375" style="23" customWidth="1"/>
    <col min="8197" max="8197" width="12.7109375" style="23" customWidth="1"/>
    <col min="8198" max="8199" width="10.7109375" style="23" customWidth="1"/>
    <col min="8200" max="8206" width="11.42578125" style="23"/>
    <col min="8207" max="8207" width="13.28515625" style="23" customWidth="1"/>
    <col min="8208" max="8449" width="11.42578125" style="23"/>
    <col min="8450" max="8450" width="36.7109375" style="23" customWidth="1"/>
    <col min="8451" max="8451" width="12.7109375" style="23" customWidth="1"/>
    <col min="8452" max="8452" width="10.7109375" style="23" customWidth="1"/>
    <col min="8453" max="8453" width="12.7109375" style="23" customWidth="1"/>
    <col min="8454" max="8455" width="10.7109375" style="23" customWidth="1"/>
    <col min="8456" max="8462" width="11.42578125" style="23"/>
    <col min="8463" max="8463" width="13.28515625" style="23" customWidth="1"/>
    <col min="8464" max="8705" width="11.42578125" style="23"/>
    <col min="8706" max="8706" width="36.7109375" style="23" customWidth="1"/>
    <col min="8707" max="8707" width="12.7109375" style="23" customWidth="1"/>
    <col min="8708" max="8708" width="10.7109375" style="23" customWidth="1"/>
    <col min="8709" max="8709" width="12.7109375" style="23" customWidth="1"/>
    <col min="8710" max="8711" width="10.7109375" style="23" customWidth="1"/>
    <col min="8712" max="8718" width="11.42578125" style="23"/>
    <col min="8719" max="8719" width="13.28515625" style="23" customWidth="1"/>
    <col min="8720" max="8961" width="11.42578125" style="23"/>
    <col min="8962" max="8962" width="36.7109375" style="23" customWidth="1"/>
    <col min="8963" max="8963" width="12.7109375" style="23" customWidth="1"/>
    <col min="8964" max="8964" width="10.7109375" style="23" customWidth="1"/>
    <col min="8965" max="8965" width="12.7109375" style="23" customWidth="1"/>
    <col min="8966" max="8967" width="10.7109375" style="23" customWidth="1"/>
    <col min="8968" max="8974" width="11.42578125" style="23"/>
    <col min="8975" max="8975" width="13.28515625" style="23" customWidth="1"/>
    <col min="8976" max="9217" width="11.42578125" style="23"/>
    <col min="9218" max="9218" width="36.7109375" style="23" customWidth="1"/>
    <col min="9219" max="9219" width="12.7109375" style="23" customWidth="1"/>
    <col min="9220" max="9220" width="10.7109375" style="23" customWidth="1"/>
    <col min="9221" max="9221" width="12.7109375" style="23" customWidth="1"/>
    <col min="9222" max="9223" width="10.7109375" style="23" customWidth="1"/>
    <col min="9224" max="9230" width="11.42578125" style="23"/>
    <col min="9231" max="9231" width="13.28515625" style="23" customWidth="1"/>
    <col min="9232" max="9473" width="11.42578125" style="23"/>
    <col min="9474" max="9474" width="36.7109375" style="23" customWidth="1"/>
    <col min="9475" max="9475" width="12.7109375" style="23" customWidth="1"/>
    <col min="9476" max="9476" width="10.7109375" style="23" customWidth="1"/>
    <col min="9477" max="9477" width="12.7109375" style="23" customWidth="1"/>
    <col min="9478" max="9479" width="10.7109375" style="23" customWidth="1"/>
    <col min="9480" max="9486" width="11.42578125" style="23"/>
    <col min="9487" max="9487" width="13.28515625" style="23" customWidth="1"/>
    <col min="9488" max="9729" width="11.42578125" style="23"/>
    <col min="9730" max="9730" width="36.7109375" style="23" customWidth="1"/>
    <col min="9731" max="9731" width="12.7109375" style="23" customWidth="1"/>
    <col min="9732" max="9732" width="10.7109375" style="23" customWidth="1"/>
    <col min="9733" max="9733" width="12.7109375" style="23" customWidth="1"/>
    <col min="9734" max="9735" width="10.7109375" style="23" customWidth="1"/>
    <col min="9736" max="9742" width="11.42578125" style="23"/>
    <col min="9743" max="9743" width="13.28515625" style="23" customWidth="1"/>
    <col min="9744" max="9985" width="11.42578125" style="23"/>
    <col min="9986" max="9986" width="36.7109375" style="23" customWidth="1"/>
    <col min="9987" max="9987" width="12.7109375" style="23" customWidth="1"/>
    <col min="9988" max="9988" width="10.7109375" style="23" customWidth="1"/>
    <col min="9989" max="9989" width="12.7109375" style="23" customWidth="1"/>
    <col min="9990" max="9991" width="10.7109375" style="23" customWidth="1"/>
    <col min="9992" max="9998" width="11.42578125" style="23"/>
    <col min="9999" max="9999" width="13.28515625" style="23" customWidth="1"/>
    <col min="10000" max="10241" width="11.42578125" style="23"/>
    <col min="10242" max="10242" width="36.7109375" style="23" customWidth="1"/>
    <col min="10243" max="10243" width="12.7109375" style="23" customWidth="1"/>
    <col min="10244" max="10244" width="10.7109375" style="23" customWidth="1"/>
    <col min="10245" max="10245" width="12.7109375" style="23" customWidth="1"/>
    <col min="10246" max="10247" width="10.7109375" style="23" customWidth="1"/>
    <col min="10248" max="10254" width="11.42578125" style="23"/>
    <col min="10255" max="10255" width="13.28515625" style="23" customWidth="1"/>
    <col min="10256" max="10497" width="11.42578125" style="23"/>
    <col min="10498" max="10498" width="36.7109375" style="23" customWidth="1"/>
    <col min="10499" max="10499" width="12.7109375" style="23" customWidth="1"/>
    <col min="10500" max="10500" width="10.7109375" style="23" customWidth="1"/>
    <col min="10501" max="10501" width="12.7109375" style="23" customWidth="1"/>
    <col min="10502" max="10503" width="10.7109375" style="23" customWidth="1"/>
    <col min="10504" max="10510" width="11.42578125" style="23"/>
    <col min="10511" max="10511" width="13.28515625" style="23" customWidth="1"/>
    <col min="10512" max="10753" width="11.42578125" style="23"/>
    <col min="10754" max="10754" width="36.7109375" style="23" customWidth="1"/>
    <col min="10755" max="10755" width="12.7109375" style="23" customWidth="1"/>
    <col min="10756" max="10756" width="10.7109375" style="23" customWidth="1"/>
    <col min="10757" max="10757" width="12.7109375" style="23" customWidth="1"/>
    <col min="10758" max="10759" width="10.7109375" style="23" customWidth="1"/>
    <col min="10760" max="10766" width="11.42578125" style="23"/>
    <col min="10767" max="10767" width="13.28515625" style="23" customWidth="1"/>
    <col min="10768" max="11009" width="11.42578125" style="23"/>
    <col min="11010" max="11010" width="36.7109375" style="23" customWidth="1"/>
    <col min="11011" max="11011" width="12.7109375" style="23" customWidth="1"/>
    <col min="11012" max="11012" width="10.7109375" style="23" customWidth="1"/>
    <col min="11013" max="11013" width="12.7109375" style="23" customWidth="1"/>
    <col min="11014" max="11015" width="10.7109375" style="23" customWidth="1"/>
    <col min="11016" max="11022" width="11.42578125" style="23"/>
    <col min="11023" max="11023" width="13.28515625" style="23" customWidth="1"/>
    <col min="11024" max="11265" width="11.42578125" style="23"/>
    <col min="11266" max="11266" width="36.7109375" style="23" customWidth="1"/>
    <col min="11267" max="11267" width="12.7109375" style="23" customWidth="1"/>
    <col min="11268" max="11268" width="10.7109375" style="23" customWidth="1"/>
    <col min="11269" max="11269" width="12.7109375" style="23" customWidth="1"/>
    <col min="11270" max="11271" width="10.7109375" style="23" customWidth="1"/>
    <col min="11272" max="11278" width="11.42578125" style="23"/>
    <col min="11279" max="11279" width="13.28515625" style="23" customWidth="1"/>
    <col min="11280" max="11521" width="11.42578125" style="23"/>
    <col min="11522" max="11522" width="36.7109375" style="23" customWidth="1"/>
    <col min="11523" max="11523" width="12.7109375" style="23" customWidth="1"/>
    <col min="11524" max="11524" width="10.7109375" style="23" customWidth="1"/>
    <col min="11525" max="11525" width="12.7109375" style="23" customWidth="1"/>
    <col min="11526" max="11527" width="10.7109375" style="23" customWidth="1"/>
    <col min="11528" max="11534" width="11.42578125" style="23"/>
    <col min="11535" max="11535" width="13.28515625" style="23" customWidth="1"/>
    <col min="11536" max="11777" width="11.42578125" style="23"/>
    <col min="11778" max="11778" width="36.7109375" style="23" customWidth="1"/>
    <col min="11779" max="11779" width="12.7109375" style="23" customWidth="1"/>
    <col min="11780" max="11780" width="10.7109375" style="23" customWidth="1"/>
    <col min="11781" max="11781" width="12.7109375" style="23" customWidth="1"/>
    <col min="11782" max="11783" width="10.7109375" style="23" customWidth="1"/>
    <col min="11784" max="11790" width="11.42578125" style="23"/>
    <col min="11791" max="11791" width="13.28515625" style="23" customWidth="1"/>
    <col min="11792" max="12033" width="11.42578125" style="23"/>
    <col min="12034" max="12034" width="36.7109375" style="23" customWidth="1"/>
    <col min="12035" max="12035" width="12.7109375" style="23" customWidth="1"/>
    <col min="12036" max="12036" width="10.7109375" style="23" customWidth="1"/>
    <col min="12037" max="12037" width="12.7109375" style="23" customWidth="1"/>
    <col min="12038" max="12039" width="10.7109375" style="23" customWidth="1"/>
    <col min="12040" max="12046" width="11.42578125" style="23"/>
    <col min="12047" max="12047" width="13.28515625" style="23" customWidth="1"/>
    <col min="12048" max="12289" width="11.42578125" style="23"/>
    <col min="12290" max="12290" width="36.7109375" style="23" customWidth="1"/>
    <col min="12291" max="12291" width="12.7109375" style="23" customWidth="1"/>
    <col min="12292" max="12292" width="10.7109375" style="23" customWidth="1"/>
    <col min="12293" max="12293" width="12.7109375" style="23" customWidth="1"/>
    <col min="12294" max="12295" width="10.7109375" style="23" customWidth="1"/>
    <col min="12296" max="12302" width="11.42578125" style="23"/>
    <col min="12303" max="12303" width="13.28515625" style="23" customWidth="1"/>
    <col min="12304" max="12545" width="11.42578125" style="23"/>
    <col min="12546" max="12546" width="36.7109375" style="23" customWidth="1"/>
    <col min="12547" max="12547" width="12.7109375" style="23" customWidth="1"/>
    <col min="12548" max="12548" width="10.7109375" style="23" customWidth="1"/>
    <col min="12549" max="12549" width="12.7109375" style="23" customWidth="1"/>
    <col min="12550" max="12551" width="10.7109375" style="23" customWidth="1"/>
    <col min="12552" max="12558" width="11.42578125" style="23"/>
    <col min="12559" max="12559" width="13.28515625" style="23" customWidth="1"/>
    <col min="12560" max="12801" width="11.42578125" style="23"/>
    <col min="12802" max="12802" width="36.7109375" style="23" customWidth="1"/>
    <col min="12803" max="12803" width="12.7109375" style="23" customWidth="1"/>
    <col min="12804" max="12804" width="10.7109375" style="23" customWidth="1"/>
    <col min="12805" max="12805" width="12.7109375" style="23" customWidth="1"/>
    <col min="12806" max="12807" width="10.7109375" style="23" customWidth="1"/>
    <col min="12808" max="12814" width="11.42578125" style="23"/>
    <col min="12815" max="12815" width="13.28515625" style="23" customWidth="1"/>
    <col min="12816" max="13057" width="11.42578125" style="23"/>
    <col min="13058" max="13058" width="36.7109375" style="23" customWidth="1"/>
    <col min="13059" max="13059" width="12.7109375" style="23" customWidth="1"/>
    <col min="13060" max="13060" width="10.7109375" style="23" customWidth="1"/>
    <col min="13061" max="13061" width="12.7109375" style="23" customWidth="1"/>
    <col min="13062" max="13063" width="10.7109375" style="23" customWidth="1"/>
    <col min="13064" max="13070" width="11.42578125" style="23"/>
    <col min="13071" max="13071" width="13.28515625" style="23" customWidth="1"/>
    <col min="13072" max="13313" width="11.42578125" style="23"/>
    <col min="13314" max="13314" width="36.7109375" style="23" customWidth="1"/>
    <col min="13315" max="13315" width="12.7109375" style="23" customWidth="1"/>
    <col min="13316" max="13316" width="10.7109375" style="23" customWidth="1"/>
    <col min="13317" max="13317" width="12.7109375" style="23" customWidth="1"/>
    <col min="13318" max="13319" width="10.7109375" style="23" customWidth="1"/>
    <col min="13320" max="13326" width="11.42578125" style="23"/>
    <col min="13327" max="13327" width="13.28515625" style="23" customWidth="1"/>
    <col min="13328" max="13569" width="11.42578125" style="23"/>
    <col min="13570" max="13570" width="36.7109375" style="23" customWidth="1"/>
    <col min="13571" max="13571" width="12.7109375" style="23" customWidth="1"/>
    <col min="13572" max="13572" width="10.7109375" style="23" customWidth="1"/>
    <col min="13573" max="13573" width="12.7109375" style="23" customWidth="1"/>
    <col min="13574" max="13575" width="10.7109375" style="23" customWidth="1"/>
    <col min="13576" max="13582" width="11.42578125" style="23"/>
    <col min="13583" max="13583" width="13.28515625" style="23" customWidth="1"/>
    <col min="13584" max="13825" width="11.42578125" style="23"/>
    <col min="13826" max="13826" width="36.7109375" style="23" customWidth="1"/>
    <col min="13827" max="13827" width="12.7109375" style="23" customWidth="1"/>
    <col min="13828" max="13828" width="10.7109375" style="23" customWidth="1"/>
    <col min="13829" max="13829" width="12.7109375" style="23" customWidth="1"/>
    <col min="13830" max="13831" width="10.7109375" style="23" customWidth="1"/>
    <col min="13832" max="13838" width="11.42578125" style="23"/>
    <col min="13839" max="13839" width="13.28515625" style="23" customWidth="1"/>
    <col min="13840" max="14081" width="11.42578125" style="23"/>
    <col min="14082" max="14082" width="36.7109375" style="23" customWidth="1"/>
    <col min="14083" max="14083" width="12.7109375" style="23" customWidth="1"/>
    <col min="14084" max="14084" width="10.7109375" style="23" customWidth="1"/>
    <col min="14085" max="14085" width="12.7109375" style="23" customWidth="1"/>
    <col min="14086" max="14087" width="10.7109375" style="23" customWidth="1"/>
    <col min="14088" max="14094" width="11.42578125" style="23"/>
    <col min="14095" max="14095" width="13.28515625" style="23" customWidth="1"/>
    <col min="14096" max="14337" width="11.42578125" style="23"/>
    <col min="14338" max="14338" width="36.7109375" style="23" customWidth="1"/>
    <col min="14339" max="14339" width="12.7109375" style="23" customWidth="1"/>
    <col min="14340" max="14340" width="10.7109375" style="23" customWidth="1"/>
    <col min="14341" max="14341" width="12.7109375" style="23" customWidth="1"/>
    <col min="14342" max="14343" width="10.7109375" style="23" customWidth="1"/>
    <col min="14344" max="14350" width="11.42578125" style="23"/>
    <col min="14351" max="14351" width="13.28515625" style="23" customWidth="1"/>
    <col min="14352" max="14593" width="11.42578125" style="23"/>
    <col min="14594" max="14594" width="36.7109375" style="23" customWidth="1"/>
    <col min="14595" max="14595" width="12.7109375" style="23" customWidth="1"/>
    <col min="14596" max="14596" width="10.7109375" style="23" customWidth="1"/>
    <col min="14597" max="14597" width="12.7109375" style="23" customWidth="1"/>
    <col min="14598" max="14599" width="10.7109375" style="23" customWidth="1"/>
    <col min="14600" max="14606" width="11.42578125" style="23"/>
    <col min="14607" max="14607" width="13.28515625" style="23" customWidth="1"/>
    <col min="14608" max="14849" width="11.42578125" style="23"/>
    <col min="14850" max="14850" width="36.7109375" style="23" customWidth="1"/>
    <col min="14851" max="14851" width="12.7109375" style="23" customWidth="1"/>
    <col min="14852" max="14852" width="10.7109375" style="23" customWidth="1"/>
    <col min="14853" max="14853" width="12.7109375" style="23" customWidth="1"/>
    <col min="14854" max="14855" width="10.7109375" style="23" customWidth="1"/>
    <col min="14856" max="14862" width="11.42578125" style="23"/>
    <col min="14863" max="14863" width="13.28515625" style="23" customWidth="1"/>
    <col min="14864" max="15105" width="11.42578125" style="23"/>
    <col min="15106" max="15106" width="36.7109375" style="23" customWidth="1"/>
    <col min="15107" max="15107" width="12.7109375" style="23" customWidth="1"/>
    <col min="15108" max="15108" width="10.7109375" style="23" customWidth="1"/>
    <col min="15109" max="15109" width="12.7109375" style="23" customWidth="1"/>
    <col min="15110" max="15111" width="10.7109375" style="23" customWidth="1"/>
    <col min="15112" max="15118" width="11.42578125" style="23"/>
    <col min="15119" max="15119" width="13.28515625" style="23" customWidth="1"/>
    <col min="15120" max="15361" width="11.42578125" style="23"/>
    <col min="15362" max="15362" width="36.7109375" style="23" customWidth="1"/>
    <col min="15363" max="15363" width="12.7109375" style="23" customWidth="1"/>
    <col min="15364" max="15364" width="10.7109375" style="23" customWidth="1"/>
    <col min="15365" max="15365" width="12.7109375" style="23" customWidth="1"/>
    <col min="15366" max="15367" width="10.7109375" style="23" customWidth="1"/>
    <col min="15368" max="15374" width="11.42578125" style="23"/>
    <col min="15375" max="15375" width="13.28515625" style="23" customWidth="1"/>
    <col min="15376" max="15617" width="11.42578125" style="23"/>
    <col min="15618" max="15618" width="36.7109375" style="23" customWidth="1"/>
    <col min="15619" max="15619" width="12.7109375" style="23" customWidth="1"/>
    <col min="15620" max="15620" width="10.7109375" style="23" customWidth="1"/>
    <col min="15621" max="15621" width="12.7109375" style="23" customWidth="1"/>
    <col min="15622" max="15623" width="10.7109375" style="23" customWidth="1"/>
    <col min="15624" max="15630" width="11.42578125" style="23"/>
    <col min="15631" max="15631" width="13.28515625" style="23" customWidth="1"/>
    <col min="15632" max="15873" width="11.42578125" style="23"/>
    <col min="15874" max="15874" width="36.7109375" style="23" customWidth="1"/>
    <col min="15875" max="15875" width="12.7109375" style="23" customWidth="1"/>
    <col min="15876" max="15876" width="10.7109375" style="23" customWidth="1"/>
    <col min="15877" max="15877" width="12.7109375" style="23" customWidth="1"/>
    <col min="15878" max="15879" width="10.7109375" style="23" customWidth="1"/>
    <col min="15880" max="15886" width="11.42578125" style="23"/>
    <col min="15887" max="15887" width="13.28515625" style="23" customWidth="1"/>
    <col min="15888" max="16129" width="11.42578125" style="23"/>
    <col min="16130" max="16130" width="36.7109375" style="23" customWidth="1"/>
    <col min="16131" max="16131" width="12.7109375" style="23" customWidth="1"/>
    <col min="16132" max="16132" width="10.7109375" style="23" customWidth="1"/>
    <col min="16133" max="16133" width="12.7109375" style="23" customWidth="1"/>
    <col min="16134" max="16135" width="10.7109375" style="23" customWidth="1"/>
    <col min="16136" max="16142" width="11.42578125" style="23"/>
    <col min="16143" max="16143" width="13.28515625" style="23" customWidth="1"/>
    <col min="16144" max="16384" width="11.42578125" style="23"/>
  </cols>
  <sheetData>
    <row r="1" spans="2:14" ht="26.25">
      <c r="B1" s="26"/>
    </row>
    <row r="7" spans="2:14" ht="33.75" customHeight="1">
      <c r="B7" s="447" t="s">
        <v>308</v>
      </c>
      <c r="C7" s="448"/>
      <c r="D7" s="448"/>
      <c r="E7" s="448"/>
      <c r="F7" s="448"/>
      <c r="G7" s="449"/>
      <c r="I7" s="447" t="s">
        <v>309</v>
      </c>
      <c r="J7" s="448"/>
      <c r="K7" s="448"/>
      <c r="L7" s="448"/>
      <c r="M7" s="448"/>
      <c r="N7" s="449"/>
    </row>
    <row r="8" spans="2:14" ht="41.25" customHeight="1">
      <c r="B8" s="30" t="s">
        <v>238</v>
      </c>
      <c r="C8" s="329" t="str">
        <f>actualizaciones!$A$3</f>
        <v>acumulado julio 2009</v>
      </c>
      <c r="D8" s="330" t="s">
        <v>27</v>
      </c>
      <c r="E8" s="329" t="str">
        <f>actualizaciones!$A$2</f>
        <v xml:space="preserve">acumulado julio 2010 </v>
      </c>
      <c r="F8" s="330" t="s">
        <v>27</v>
      </c>
      <c r="G8" s="330" t="s">
        <v>28</v>
      </c>
      <c r="I8" s="30" t="s">
        <v>238</v>
      </c>
      <c r="J8" s="329" t="str">
        <f>actualizaciones!$A$3</f>
        <v>acumulado julio 2009</v>
      </c>
      <c r="K8" s="330" t="s">
        <v>27</v>
      </c>
      <c r="L8" s="329" t="str">
        <f>actualizaciones!$A$2</f>
        <v xml:space="preserve">acumulado julio 2010 </v>
      </c>
      <c r="M8" s="330" t="s">
        <v>27</v>
      </c>
      <c r="N8" s="330" t="s">
        <v>28</v>
      </c>
    </row>
    <row r="9" spans="2:14">
      <c r="B9" s="98" t="s">
        <v>239</v>
      </c>
      <c r="C9" s="99"/>
      <c r="D9" s="100"/>
      <c r="E9" s="99"/>
      <c r="F9" s="99"/>
      <c r="G9" s="100"/>
      <c r="I9" s="98" t="s">
        <v>239</v>
      </c>
      <c r="J9" s="99"/>
      <c r="K9" s="100"/>
      <c r="L9" s="99"/>
      <c r="M9" s="99"/>
      <c r="N9" s="100"/>
    </row>
    <row r="10" spans="2:14">
      <c r="B10" s="33" t="s">
        <v>29</v>
      </c>
      <c r="C10" s="34">
        <f>GETPIVOTDATA("dato",'[1]tabla dinámica municipios'!$A$4,"indicador","TOTAL","categoría","TOTAL","municipio","ADEJE","año",2009)</f>
        <v>945838</v>
      </c>
      <c r="D10" s="35">
        <f>C10/$C$10</f>
        <v>1</v>
      </c>
      <c r="E10" s="34">
        <f>GETPIVOTDATA("dato",'[1]tabla dinámica municipios'!$A$4,"indicador","TOTAL","categoría","TOTAL","municipio","ADEJE","año",2010)</f>
        <v>978683</v>
      </c>
      <c r="F10" s="35">
        <f>E10/$E$10</f>
        <v>1</v>
      </c>
      <c r="G10" s="35">
        <f>(E10-C10)/C10</f>
        <v>3.472581985498574E-2</v>
      </c>
      <c r="I10" s="33" t="s">
        <v>29</v>
      </c>
      <c r="J10" s="34">
        <f>GETPIVOTDATA("dato",'[1]tabla dinámica municipios'!$A$4,"indicador","TOTAL","categoría","TOTAL","municipio","ARONA","año",2009)</f>
        <v>808683</v>
      </c>
      <c r="K10" s="35">
        <f>J10/$C$10</f>
        <v>0.85499102383283399</v>
      </c>
      <c r="L10" s="34">
        <f>GETPIVOTDATA("dato",'[1]tabla dinámica municipios'!$A$4,"indicador","TOTAL","categoría","TOTAL","municipio","ARONA","año",2010)</f>
        <v>818429</v>
      </c>
      <c r="M10" s="35">
        <f>L10/$E$10</f>
        <v>0.83625545758943398</v>
      </c>
      <c r="N10" s="35">
        <f>(L10-J10)/J10</f>
        <v>1.2051693927039395E-2</v>
      </c>
    </row>
    <row r="11" spans="2:14">
      <c r="B11" s="98" t="s">
        <v>241</v>
      </c>
      <c r="C11" s="99"/>
      <c r="D11" s="107"/>
      <c r="E11" s="99"/>
      <c r="F11" s="450"/>
      <c r="G11" s="451"/>
      <c r="I11" s="98" t="s">
        <v>241</v>
      </c>
      <c r="J11" s="99"/>
      <c r="K11" s="107"/>
      <c r="L11" s="99"/>
      <c r="M11" s="450"/>
      <c r="N11" s="451"/>
    </row>
    <row r="12" spans="2:14">
      <c r="B12" s="111" t="s">
        <v>242</v>
      </c>
      <c r="C12" s="452">
        <f>GETPIVOTDATA("dato",'[1]tabla dinámica municipios'!$A$4,"indicador","TOTAL","categoría","Hoteleros","municipio","ADEJE","año",2009)</f>
        <v>605398</v>
      </c>
      <c r="D12" s="110">
        <f>C12/$C$10</f>
        <v>0.64006521201305089</v>
      </c>
      <c r="E12" s="452">
        <f>GETPIVOTDATA("dato",'[1]tabla dinámica municipios'!$A$4,"indicador","TOTAL","categoría","Hoteleros","municipio","ADEJE","año",2010)</f>
        <v>644123</v>
      </c>
      <c r="F12" s="110">
        <f>E12/$E$10</f>
        <v>0.6581528441793717</v>
      </c>
      <c r="G12" s="453">
        <f>(E12-C12)/C12</f>
        <v>6.3966184229217807E-2</v>
      </c>
      <c r="I12" s="111" t="s">
        <v>242</v>
      </c>
      <c r="J12" s="452">
        <f>GETPIVOTDATA("dato",'[1]tabla dinámica municipios'!$A$4,"indicador","TOTAL","categoría","Hoteleros","municipio","ARONA","año",2009)</f>
        <v>343639</v>
      </c>
      <c r="K12" s="110">
        <f>J12/$C$10</f>
        <v>0.36331697394268364</v>
      </c>
      <c r="L12" s="452">
        <f>GETPIVOTDATA("dato",'[1]tabla dinámica municipios'!$A$4,"indicador","TOTAL","categoría","Hoteleros","municipio","ARONA","año",2010)</f>
        <v>372354</v>
      </c>
      <c r="M12" s="110">
        <f>L12/$E$10</f>
        <v>0.38046435873515733</v>
      </c>
      <c r="N12" s="453">
        <f>(L12-J12)/J12</f>
        <v>8.3561528231661714E-2</v>
      </c>
    </row>
    <row r="13" spans="2:14">
      <c r="B13" s="111" t="s">
        <v>243</v>
      </c>
      <c r="C13" s="454">
        <f>GETPIVOTDATA("dato",'[1]tabla dinámica municipios'!$A$4,"indicador","TOTAL","categoría","5 *","municipio","ADEJE","año",2009)</f>
        <v>82765</v>
      </c>
      <c r="D13" s="39">
        <f>C13/$C$10</f>
        <v>8.7504414075137607E-2</v>
      </c>
      <c r="E13" s="454">
        <f>GETPIVOTDATA("dato",'[1]tabla dinámica municipios'!$A$4,"indicador","TOTAL","categoría","5 *","municipio","ADEJE","año",2010)</f>
        <v>92816</v>
      </c>
      <c r="F13" s="39">
        <f>E13/$E$10</f>
        <v>9.4837654276205885E-2</v>
      </c>
      <c r="G13" s="455">
        <f>(E13-C13)/C13</f>
        <v>0.12144022231619646</v>
      </c>
      <c r="I13" s="111" t="s">
        <v>243</v>
      </c>
      <c r="J13" s="454">
        <f>GETPIVOTDATA("dato",'[1]tabla dinámica municipios'!$A$4,"indicador","TOTAL","categoría","5 *","municipio","ARONA","año",2009)</f>
        <v>40667</v>
      </c>
      <c r="K13" s="39">
        <f>J13/$C$10</f>
        <v>4.2995734999016745E-2</v>
      </c>
      <c r="L13" s="454">
        <f>GETPIVOTDATA("dato",'[1]tabla dinámica municipios'!$A$4,"indicador","TOTAL","categoría","5 *","municipio","ARONA","año",2010)</f>
        <v>43716</v>
      </c>
      <c r="M13" s="39">
        <f>L13/$E$10</f>
        <v>4.466819184557206E-2</v>
      </c>
      <c r="N13" s="455">
        <f>(L13-J13)/J13</f>
        <v>7.4974795288563212E-2</v>
      </c>
    </row>
    <row r="14" spans="2:14">
      <c r="B14" s="111" t="s">
        <v>244</v>
      </c>
      <c r="C14" s="454">
        <f>GETPIVOTDATA("dato",'[1]tabla dinámica municipios'!$A$4,"indicador","TOTAL","categoría","4 *","municipio","ADEJE","año",2009)</f>
        <v>401480</v>
      </c>
      <c r="D14" s="39">
        <f>C14/$C$10</f>
        <v>0.42447015239396174</v>
      </c>
      <c r="E14" s="454">
        <f>GETPIVOTDATA("dato",'[1]tabla dinámica municipios'!$A$4,"indicador","TOTAL","categoría","4 *","municipio","ADEJE","año",2010)</f>
        <v>441530</v>
      </c>
      <c r="F14" s="39">
        <f>E14/$E$10</f>
        <v>0.45114710279017822</v>
      </c>
      <c r="G14" s="455">
        <f>(E14-C14)/C14</f>
        <v>9.9755903158314244E-2</v>
      </c>
      <c r="I14" s="111" t="s">
        <v>244</v>
      </c>
      <c r="J14" s="454">
        <f>GETPIVOTDATA("dato",'[1]tabla dinámica municipios'!$A$4,"indicador","TOTAL","categoría","4 *","municipio","ARONA","año",2009)</f>
        <v>191184</v>
      </c>
      <c r="K14" s="39">
        <f>J14/$C$10</f>
        <v>0.20213186613352394</v>
      </c>
      <c r="L14" s="454">
        <f>GETPIVOTDATA("dato",'[1]tabla dinámica municipios'!$A$4,"indicador","TOTAL","categoría","4 *","municipio","ARONA","año",2010)</f>
        <v>215077</v>
      </c>
      <c r="M14" s="39">
        <f>L14/$E$10</f>
        <v>0.21976165929110855</v>
      </c>
      <c r="N14" s="455">
        <f>(L14-J14)/J14</f>
        <v>0.12497384718386476</v>
      </c>
    </row>
    <row r="15" spans="2:14">
      <c r="B15" s="111" t="s">
        <v>245</v>
      </c>
      <c r="C15" s="454">
        <f>GETPIVOTDATA("dato",'[1]tabla dinámica municipios'!$A$4,"indicador","TOTAL","categoría","3 *","municipio","ADEJE","año",2009)</f>
        <v>111484</v>
      </c>
      <c r="D15" s="39">
        <f>C15/$C$10</f>
        <v>0.11786796470431511</v>
      </c>
      <c r="E15" s="454">
        <f>GETPIVOTDATA("dato",'[1]tabla dinámica municipios'!$A$4,"indicador","TOTAL","categoría","3 *","municipio","ADEJE","año",2010)</f>
        <v>99829</v>
      </c>
      <c r="F15" s="39">
        <f>E15/$E$10</f>
        <v>0.10200340661889498</v>
      </c>
      <c r="G15" s="455">
        <f>(E15-C15)/C15</f>
        <v>-0.10454414983315992</v>
      </c>
      <c r="I15" s="111" t="s">
        <v>245</v>
      </c>
      <c r="J15" s="454">
        <f>GETPIVOTDATA("dato",'[1]tabla dinámica municipios'!$A$4,"indicador","TOTAL","categoría","3 *","municipio","ARONA","año",2009)</f>
        <v>103848</v>
      </c>
      <c r="K15" s="39">
        <f>J15/$C$10</f>
        <v>0.10979470057240247</v>
      </c>
      <c r="L15" s="454">
        <f>GETPIVOTDATA("dato",'[1]tabla dinámica municipios'!$A$4,"indicador","TOTAL","categoría","3 *","municipio","ARONA","año",2010)</f>
        <v>105461</v>
      </c>
      <c r="M15" s="39">
        <f>L15/$E$10</f>
        <v>0.10775807896939049</v>
      </c>
      <c r="N15" s="455">
        <f>(L15-J15)/J15</f>
        <v>1.5532316462522148E-2</v>
      </c>
    </row>
    <row r="16" spans="2:14">
      <c r="B16" s="111" t="s">
        <v>246</v>
      </c>
      <c r="C16" s="454">
        <f>GETPIVOTDATA("dato",'[1]tabla dinámica municipios'!$A$4,"indicador","TOTAL","categoría","1* y 2 *","municipio","ADEJE","año",2009)</f>
        <v>9669</v>
      </c>
      <c r="D16" s="39">
        <f>C16/$C$10</f>
        <v>1.0222680839636386E-2</v>
      </c>
      <c r="E16" s="454">
        <f>GETPIVOTDATA("dato",'[1]tabla dinámica municipios'!$A$4,"indicador","TOTAL","categoría","1* y 2 *","municipio","ADEJE","año",2010)</f>
        <v>9948</v>
      </c>
      <c r="F16" s="39">
        <f>E16/$E$10</f>
        <v>1.0164680494092571E-2</v>
      </c>
      <c r="G16" s="455">
        <f>(E16-C16)/C16</f>
        <v>2.8855103940428173E-2</v>
      </c>
      <c r="I16" s="111" t="s">
        <v>246</v>
      </c>
      <c r="J16" s="454">
        <f>GETPIVOTDATA("dato",'[1]tabla dinámica municipios'!$A$4,"indicador","TOTAL","categoría","1* y 2 *","municipio","ARONA","año",2009)</f>
        <v>7940</v>
      </c>
      <c r="K16" s="39">
        <f>J16/$C$10</f>
        <v>8.3946722377405015E-3</v>
      </c>
      <c r="L16" s="454">
        <f>GETPIVOTDATA("dato",'[1]tabla dinámica municipios'!$A$4,"indicador","TOTAL","categoría","1* y 2 *","municipio","ARONA","año",2010)</f>
        <v>8100</v>
      </c>
      <c r="M16" s="39">
        <f>L16/$E$10</f>
        <v>8.2764286290862316E-3</v>
      </c>
      <c r="N16" s="455">
        <f>(L16-J16)/J16</f>
        <v>2.0151133501259445E-2</v>
      </c>
    </row>
    <row r="17" spans="2:16">
      <c r="B17" s="98" t="s">
        <v>247</v>
      </c>
      <c r="C17" s="107"/>
      <c r="D17" s="107"/>
      <c r="E17" s="107"/>
      <c r="F17" s="456"/>
      <c r="G17" s="457"/>
      <c r="I17" s="98" t="s">
        <v>247</v>
      </c>
      <c r="J17" s="107"/>
      <c r="K17" s="107"/>
      <c r="L17" s="107"/>
      <c r="M17" s="456"/>
      <c r="N17" s="457"/>
    </row>
    <row r="18" spans="2:16">
      <c r="B18" s="337" t="s">
        <v>248</v>
      </c>
      <c r="C18" s="112">
        <f>GETPIVOTDATA("dato",'[1]tabla dinámica municipios'!$A$4,"indicador","TOTAL","categoría","Extrahoteleros","municipio","ADEJE","año",2009)</f>
        <v>340440</v>
      </c>
      <c r="D18" s="110">
        <f>C18/$C$10</f>
        <v>0.35993478798694911</v>
      </c>
      <c r="E18" s="112">
        <f>GETPIVOTDATA("dato",'[1]tabla dinámica municipios'!$A$4,"indicador","TOTAL","categoría","Extrahoteleros","municipio","ADEJE","año",2010)</f>
        <v>334560</v>
      </c>
      <c r="F18" s="39">
        <f>E18/$E$10</f>
        <v>0.34184715582062836</v>
      </c>
      <c r="G18" s="41">
        <f>(E18-C18)/C18</f>
        <v>-1.7271765949947126E-2</v>
      </c>
      <c r="I18" s="337" t="s">
        <v>248</v>
      </c>
      <c r="J18" s="112">
        <f>GETPIVOTDATA("dato",'[1]tabla dinámica municipios'!$A$4,"indicador","TOTAL","categoría","Extrahoteleros","municipio","ARONA","año",2009)</f>
        <v>465044</v>
      </c>
      <c r="K18" s="110">
        <f>J18/$C$10</f>
        <v>0.49167404989015034</v>
      </c>
      <c r="L18" s="112">
        <f>GETPIVOTDATA("dato",'[1]tabla dinámica municipios'!$A$4,"indicador","TOTAL","categoría","Extrahoteleros","municipio","ARONA","año",2010)</f>
        <v>446075</v>
      </c>
      <c r="M18" s="39">
        <f>L18/$E$10</f>
        <v>0.4557910988542766</v>
      </c>
      <c r="N18" s="41">
        <f>(L18-J18)/J18</f>
        <v>-4.0789688717626719E-2</v>
      </c>
    </row>
    <row r="19" spans="2:16">
      <c r="B19" s="458" t="s">
        <v>90</v>
      </c>
      <c r="C19" s="459"/>
      <c r="D19" s="459"/>
      <c r="E19" s="459"/>
      <c r="F19" s="459"/>
      <c r="G19" s="460"/>
      <c r="I19" s="458" t="s">
        <v>90</v>
      </c>
      <c r="J19" s="459"/>
      <c r="K19" s="459"/>
      <c r="L19" s="459"/>
      <c r="M19" s="459"/>
      <c r="N19" s="460"/>
    </row>
    <row r="20" spans="2:16" ht="20.100000000000001" customHeight="1" thickBot="1"/>
    <row r="21" spans="2:16" ht="38.25" customHeight="1" thickBot="1">
      <c r="B21" s="447" t="s">
        <v>310</v>
      </c>
      <c r="C21" s="448"/>
      <c r="D21" s="448"/>
      <c r="E21" s="448"/>
      <c r="F21" s="448"/>
      <c r="G21" s="449"/>
      <c r="I21" s="447" t="s">
        <v>311</v>
      </c>
      <c r="J21" s="448"/>
      <c r="K21" s="448"/>
      <c r="L21" s="448"/>
      <c r="M21" s="448"/>
      <c r="N21" s="449"/>
      <c r="P21" s="60" t="s">
        <v>49</v>
      </c>
    </row>
    <row r="22" spans="2:16" ht="33.75" customHeight="1">
      <c r="B22" s="30" t="s">
        <v>238</v>
      </c>
      <c r="C22" s="329" t="str">
        <f>actualizaciones!$A$3</f>
        <v>acumulado julio 2009</v>
      </c>
      <c r="D22" s="330" t="s">
        <v>27</v>
      </c>
      <c r="E22" s="329" t="str">
        <f>actualizaciones!$A$2</f>
        <v xml:space="preserve">acumulado julio 2010 </v>
      </c>
      <c r="F22" s="330" t="s">
        <v>27</v>
      </c>
      <c r="G22" s="330" t="s">
        <v>28</v>
      </c>
      <c r="I22" s="30" t="s">
        <v>238</v>
      </c>
      <c r="J22" s="329" t="str">
        <f>actualizaciones!$A$3</f>
        <v>acumulado julio 2009</v>
      </c>
      <c r="K22" s="330" t="s">
        <v>27</v>
      </c>
      <c r="L22" s="329" t="str">
        <f>actualizaciones!$A$2</f>
        <v xml:space="preserve">acumulado julio 2010 </v>
      </c>
      <c r="M22" s="330" t="s">
        <v>27</v>
      </c>
      <c r="N22" s="330" t="s">
        <v>28</v>
      </c>
    </row>
    <row r="23" spans="2:16">
      <c r="B23" s="98" t="s">
        <v>239</v>
      </c>
      <c r="C23" s="99"/>
      <c r="D23" s="100"/>
      <c r="E23" s="99"/>
      <c r="F23" s="99"/>
      <c r="G23" s="100"/>
      <c r="I23" s="98" t="s">
        <v>239</v>
      </c>
      <c r="J23" s="99"/>
      <c r="K23" s="100"/>
      <c r="L23" s="99"/>
      <c r="M23" s="99"/>
      <c r="N23" s="100"/>
    </row>
    <row r="24" spans="2:16">
      <c r="B24" s="33" t="s">
        <v>29</v>
      </c>
      <c r="C24" s="34">
        <f>GETPIVOTDATA("dato",'[1]tabla dinámica municipios'!$A$4,"indicador","TOTAL","categoría","TOTAL","municipio","PUERTO DE LA CRUZ","año",2009)</f>
        <v>443574</v>
      </c>
      <c r="D24" s="35">
        <f>C24/$C$10</f>
        <v>0.46897460241605854</v>
      </c>
      <c r="E24" s="34">
        <f>GETPIVOTDATA("dato",'[1]tabla dinámica municipios'!$A$4,"indicador","TOTAL","categoría","TOTAL","municipio","PUERTO DE LA CRUZ","año",2010)</f>
        <v>415019</v>
      </c>
      <c r="F24" s="35">
        <f>E24/$E$10</f>
        <v>0.42405865842157264</v>
      </c>
      <c r="G24" s="35">
        <f>(E24-C24)/C24</f>
        <v>-6.4374828100835488E-2</v>
      </c>
      <c r="I24" s="33" t="s">
        <v>29</v>
      </c>
      <c r="J24" s="34">
        <f>GETPIVOTDATA("dato",'[1]tabla dinámica municipios'!$A$4,"indicador","TOTAL","categoría","TOTAL","municipio","SANTA CRUZ","año",2009)</f>
        <v>95588</v>
      </c>
      <c r="K24" s="35">
        <f>J24/$C$10</f>
        <v>0.10106170401273791</v>
      </c>
      <c r="L24" s="34">
        <f>GETPIVOTDATA("dato",'[1]tabla dinámica municipios'!$A$4,"indicador","TOTAL","categoría","TOTAL","municipio","SANTA CRUZ","año",2010)</f>
        <v>92816</v>
      </c>
      <c r="M24" s="35">
        <f>L24/$E$10</f>
        <v>9.4837654276205885E-2</v>
      </c>
      <c r="N24" s="35">
        <f>(L24-J24)/J24</f>
        <v>-2.8999455998660918E-2</v>
      </c>
    </row>
    <row r="25" spans="2:16">
      <c r="B25" s="98" t="s">
        <v>241</v>
      </c>
      <c r="C25" s="99"/>
      <c r="D25" s="107"/>
      <c r="E25" s="99"/>
      <c r="F25" s="450"/>
      <c r="G25" s="451"/>
      <c r="I25" s="98" t="s">
        <v>241</v>
      </c>
      <c r="J25" s="99"/>
      <c r="K25" s="107"/>
      <c r="L25" s="99"/>
      <c r="M25" s="450"/>
      <c r="N25" s="451"/>
    </row>
    <row r="26" spans="2:16">
      <c r="B26" s="111" t="s">
        <v>242</v>
      </c>
      <c r="C26" s="452">
        <f>GETPIVOTDATA("dato",'[1]tabla dinámica municipios'!$A$4,"indicador","TOTAL","categoría","Hoteleros","municipio","PUERTO DE LA CRUZ","año",2009)</f>
        <v>292166</v>
      </c>
      <c r="D26" s="110">
        <f>C26/$C$10</f>
        <v>0.30889644949769413</v>
      </c>
      <c r="E26" s="452">
        <f>GETPIVOTDATA("dato",'[1]tabla dinámica municipios'!$A$4,"indicador","TOTAL","categoría","Hoteleros","municipio","PUERTO DE LA CRUZ","año",2010)</f>
        <v>284310</v>
      </c>
      <c r="F26" s="110">
        <f>E26/$E$10</f>
        <v>0.2905026448809267</v>
      </c>
      <c r="G26" s="453">
        <f>(E26-C26)/C26</f>
        <v>-2.6888823477064408E-2</v>
      </c>
      <c r="I26" s="111" t="s">
        <v>242</v>
      </c>
      <c r="J26" s="452">
        <f>GETPIVOTDATA("dato",'[1]tabla dinámica municipios'!$A$4,"indicador","TOTAL","categoría","Hoteleros","municipio","SANTA CRUZ","año",2009)</f>
        <v>95588</v>
      </c>
      <c r="K26" s="110">
        <f>J26/$C$10</f>
        <v>0.10106170401273791</v>
      </c>
      <c r="L26" s="452">
        <f>GETPIVOTDATA("dato",'[1]tabla dinámica municipios'!$A$4,"indicador","TOTAL","categoría","Hoteleros","municipio","SANTA CRUZ","año",2010)</f>
        <v>92816</v>
      </c>
      <c r="M26" s="110">
        <f>L26/$E$10</f>
        <v>9.4837654276205885E-2</v>
      </c>
      <c r="N26" s="453">
        <f>(L26-J26)/J26</f>
        <v>-2.8999455998660918E-2</v>
      </c>
    </row>
    <row r="27" spans="2:16">
      <c r="B27" s="111" t="s">
        <v>312</v>
      </c>
      <c r="C27" s="454">
        <f>GETPIVOTDATA("dato",'[1]tabla dinámica municipios'!$A$4,"indicador","TOTAL","categoría","4* Y 5*","municipio","PUERTO DE LA CRUZ","año",2009)</f>
        <v>235840</v>
      </c>
      <c r="D27" s="39">
        <f>C27/$C$10</f>
        <v>0.24934502525802515</v>
      </c>
      <c r="E27" s="454">
        <f>GETPIVOTDATA("dato",'[1]tabla dinámica municipios'!$A$4,"indicador","TOTAL","categoría","4* Y 5*","municipio","PUERTO DE LA CRUZ","año",2010)</f>
        <v>235506</v>
      </c>
      <c r="F27" s="39">
        <f>E27/$E$10</f>
        <v>0.24063562971871383</v>
      </c>
      <c r="G27" s="455">
        <f>(E27-C27)/C27</f>
        <v>-1.4162143826322931E-3</v>
      </c>
      <c r="I27" s="111" t="s">
        <v>312</v>
      </c>
      <c r="J27" s="454">
        <f>GETPIVOTDATA("dato",'[1]tabla dinámica municipios'!$A$4,"indicador","TOTAL","categoría","4* Y 5*","municipio","SANTA CRUZ","año",2009)</f>
        <v>32115</v>
      </c>
      <c r="K27" s="39">
        <f>J27/$C$10</f>
        <v>3.3954017495596497E-2</v>
      </c>
      <c r="L27" s="454">
        <f>GETPIVOTDATA("dato",'[1]tabla dinámica municipios'!$A$4,"indicador","TOTAL","categoría","4* Y 5*","municipio","SANTA CRUZ","año",2010)</f>
        <v>30405</v>
      </c>
      <c r="M27" s="39">
        <f>L27/$E$10</f>
        <v>3.1067260798440351E-2</v>
      </c>
      <c r="N27" s="455">
        <f>(L27-J27)/J27</f>
        <v>-5.3246146660439045E-2</v>
      </c>
    </row>
    <row r="28" spans="2:16">
      <c r="B28" s="111" t="s">
        <v>245</v>
      </c>
      <c r="C28" s="454">
        <f>GETPIVOTDATA("dato",'[1]tabla dinámica municipios'!$A$4,"indicador","TOTAL","categoría","3 *","municipio","PUERTO DE LA CRUZ","año",2009)</f>
        <v>50916</v>
      </c>
      <c r="D28" s="39">
        <f>C28/$C$10</f>
        <v>5.3831628672140475E-2</v>
      </c>
      <c r="E28" s="454">
        <f>GETPIVOTDATA("dato",'[1]tabla dinámica municipios'!$A$4,"indicador","TOTAL","categoría","3 *","municipio","PUERTO DE LA CRUZ","año",2010)</f>
        <v>43093</v>
      </c>
      <c r="F28" s="39">
        <f>E28/$E$10</f>
        <v>4.4031622088050983E-2</v>
      </c>
      <c r="G28" s="455">
        <f>(E28-C28)/C28</f>
        <v>-0.15364521957734306</v>
      </c>
      <c r="I28" s="111" t="s">
        <v>245</v>
      </c>
      <c r="J28" s="454">
        <f>GETPIVOTDATA("dato",'[1]tabla dinámica municipios'!$A$4,"indicador","TOTAL","categoría","3 *","municipio","SANTA CRUZ","año",2009)</f>
        <v>26495</v>
      </c>
      <c r="K28" s="39">
        <f>J28/$C$10</f>
        <v>2.8012196591805361E-2</v>
      </c>
      <c r="L28" s="454">
        <f>GETPIVOTDATA("dato",'[1]tabla dinámica municipios'!$A$4,"indicador","TOTAL","categoría","3 *","municipio","SANTA CRUZ","año",2010)</f>
        <v>27640</v>
      </c>
      <c r="M28" s="39">
        <f>L28/$E$10</f>
        <v>2.8242035470116472E-2</v>
      </c>
      <c r="N28" s="455">
        <f>(L28-J28)/J28</f>
        <v>4.3215701075674656E-2</v>
      </c>
    </row>
    <row r="29" spans="2:16">
      <c r="B29" s="111" t="s">
        <v>246</v>
      </c>
      <c r="C29" s="454">
        <f>GETPIVOTDATA("dato",'[1]tabla dinámica municipios'!$A$4,"indicador","TOTAL","categoría","1* Y 2 *","municipio","PUERTO DE LA CRUZ","año",2009)</f>
        <v>5410</v>
      </c>
      <c r="D29" s="39">
        <f>C29/$C$10</f>
        <v>5.7197955675284771E-3</v>
      </c>
      <c r="E29" s="454">
        <f>GETPIVOTDATA("dato",'[1]tabla dinámica municipios'!$A$4,"indicador","TOTAL","categoría","1* Y 2 *","municipio","PUERTO DE LA CRUZ","año",2010)</f>
        <v>5711</v>
      </c>
      <c r="F29" s="39">
        <f>E29/$E$10</f>
        <v>5.8353930741619096E-3</v>
      </c>
      <c r="G29" s="455">
        <f>(E29-C29)/C29</f>
        <v>5.5637707948243992E-2</v>
      </c>
      <c r="I29" s="111" t="s">
        <v>313</v>
      </c>
      <c r="J29" s="454">
        <f>GETPIVOTDATA("dato",'[1]tabla dinámica municipios'!$A$4,"indicador","TOTAL","categoría","2*","municipio","SANTA CRUZ","año",2009)</f>
        <v>30073</v>
      </c>
      <c r="K29" s="39">
        <f>J29/$C$10</f>
        <v>3.1795085416318654E-2</v>
      </c>
      <c r="L29" s="454">
        <f>GETPIVOTDATA("dato",'[1]tabla dinámica municipios'!$A$4,"indicador","TOTAL","categoría","2*","municipio","SANTA CRUZ","año",2010)</f>
        <v>29823</v>
      </c>
      <c r="M29" s="39">
        <f>L29/$E$10</f>
        <v>3.0472584074720824E-2</v>
      </c>
      <c r="N29" s="455">
        <f>(L29-J29)/J29</f>
        <v>-8.3131047783726267E-3</v>
      </c>
    </row>
    <row r="30" spans="2:16">
      <c r="B30" s="98" t="s">
        <v>247</v>
      </c>
      <c r="C30" s="107"/>
      <c r="D30" s="107"/>
      <c r="E30" s="107"/>
      <c r="F30" s="456"/>
      <c r="G30" s="457"/>
      <c r="I30" s="111" t="s">
        <v>314</v>
      </c>
      <c r="J30" s="454">
        <f>GETPIVOTDATA("dato",'[1]tabla dinámica municipios'!$A$4,"indicador","TOTAL","categoría","1*","municipio","SANTA CRUZ","año",2009)</f>
        <v>6905</v>
      </c>
      <c r="K30" s="39">
        <f>J30/$C$10</f>
        <v>7.3004045090174002E-3</v>
      </c>
      <c r="L30" s="454">
        <f>GETPIVOTDATA("dato",'[1]tabla dinámica municipios'!$A$4,"indicador","TOTAL","categoría","1*","municipio","SANTA CRUZ","año",2010)</f>
        <v>4948</v>
      </c>
      <c r="M30" s="39">
        <f>L30/$E$10</f>
        <v>5.0557739329282307E-3</v>
      </c>
      <c r="N30" s="455">
        <f>(L30-J30)/J30</f>
        <v>-0.28341781317885589</v>
      </c>
    </row>
    <row r="31" spans="2:16">
      <c r="B31" s="337" t="s">
        <v>248</v>
      </c>
      <c r="C31" s="112">
        <f>GETPIVOTDATA("dato",'[1]tabla dinámica municipios'!$A$4,"indicador","TOTAL","categoría","Extrahoteleros","municipio","PUERTO DE LA CRUZ","año",2009)</f>
        <v>151408</v>
      </c>
      <c r="D31" s="110">
        <f>C31/$C$10</f>
        <v>0.16007815291836447</v>
      </c>
      <c r="E31" s="112">
        <f>GETPIVOTDATA("dato",'[1]tabla dinámica municipios'!$A$4,"indicador","TOTAL","categoría","Extrahoteleros","municipio","PUERTO DE LA CRUZ","año",2010)</f>
        <v>130709</v>
      </c>
      <c r="F31" s="39">
        <f>E31/$E$10</f>
        <v>0.13355601354064595</v>
      </c>
      <c r="G31" s="41">
        <f>(E31-C31)/C31</f>
        <v>-0.13671008136954454</v>
      </c>
      <c r="I31" s="98" t="s">
        <v>247</v>
      </c>
      <c r="J31" s="107"/>
      <c r="K31" s="107"/>
      <c r="L31" s="107"/>
      <c r="M31" s="456"/>
      <c r="N31" s="457"/>
    </row>
    <row r="32" spans="2:16">
      <c r="B32" s="458" t="s">
        <v>90</v>
      </c>
      <c r="C32" s="459"/>
      <c r="D32" s="459"/>
      <c r="E32" s="459"/>
      <c r="F32" s="459"/>
      <c r="G32" s="460"/>
      <c r="I32" s="337" t="s">
        <v>248</v>
      </c>
      <c r="J32" s="112">
        <f>GETPIVOTDATA("dato",'[1]tabla dinámica municipios'!$A$4,"indicador","TOTAL","categoría","Extrahoteleros","municipio","SANTA CRUZ","año",2009)</f>
        <v>0</v>
      </c>
      <c r="K32" s="110">
        <f>J32/$C$10</f>
        <v>0</v>
      </c>
      <c r="L32" s="112">
        <f>GETPIVOTDATA("dato",'[1]tabla dinámica municipios'!$A$4,"indicador","TOTAL","categoría","Extrahoteleros","municipio","SANTA CRUZ","año",2010)</f>
        <v>0</v>
      </c>
      <c r="M32" s="39">
        <f>L32/$E$10</f>
        <v>0</v>
      </c>
      <c r="N32" s="444" t="str">
        <f>IFERROR((L32-J32)/J32,"-")</f>
        <v>-</v>
      </c>
    </row>
    <row r="33" spans="9:14">
      <c r="I33" s="458" t="s">
        <v>90</v>
      </c>
      <c r="J33" s="459"/>
      <c r="K33" s="459"/>
      <c r="L33" s="459"/>
      <c r="M33" s="459"/>
      <c r="N33" s="460"/>
    </row>
  </sheetData>
  <mergeCells count="8">
    <mergeCell ref="B32:G32"/>
    <mergeCell ref="I33:N33"/>
    <mergeCell ref="B7:G7"/>
    <mergeCell ref="I7:N7"/>
    <mergeCell ref="B19:G19"/>
    <mergeCell ref="I19:N19"/>
    <mergeCell ref="B21:G21"/>
    <mergeCell ref="I21:N21"/>
  </mergeCells>
  <hyperlinks>
    <hyperlink ref="P21" location="'Gráfico aloj tipolog y categorí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76.xml><?xml version="1.0" encoding="utf-8"?>
<worksheet xmlns="http://schemas.openxmlformats.org/spreadsheetml/2006/main" xmlns:r="http://schemas.openxmlformats.org/officeDocument/2006/relationships">
  <sheetPr codeName="Hoja1">
    <tabColor rgb="FF000099"/>
    <pageSetUpPr autoPageBreaks="0" fitToPage="1"/>
  </sheetPr>
  <dimension ref="B6:S44"/>
  <sheetViews>
    <sheetView showGridLines="0" showRowColHeaders="0" showOutlineSymbols="0" zoomScaleNormal="100" workbookViewId="0">
      <selection activeCell="B25" sqref="B25"/>
    </sheetView>
  </sheetViews>
  <sheetFormatPr baseColWidth="10" defaultRowHeight="12.75"/>
  <cols>
    <col min="1" max="1" width="1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60" t="s">
        <v>51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Alojados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77.xml><?xml version="1.0" encoding="utf-8"?>
<worksheet xmlns="http://schemas.openxmlformats.org/spreadsheetml/2006/main" xmlns:r="http://schemas.openxmlformats.org/officeDocument/2006/relationships">
  <sheetPr codeName="Hoja7">
    <tabColor rgb="FF000099"/>
    <pageSetUpPr autoPageBreaks="0" fitToPage="1"/>
  </sheetPr>
  <dimension ref="B6:L30"/>
  <sheetViews>
    <sheetView showGridLines="0" showRowColHeaders="0" showOutlineSymbols="0" zoomScaleNormal="100" workbookViewId="0">
      <selection activeCell="B25" sqref="B25"/>
    </sheetView>
  </sheetViews>
  <sheetFormatPr baseColWidth="10" defaultRowHeight="12.75"/>
  <cols>
    <col min="1" max="1" width="11.42578125" style="23"/>
    <col min="2" max="2" width="26.85546875" style="23" bestFit="1" customWidth="1"/>
    <col min="3" max="7" width="11.7109375" style="23" customWidth="1"/>
    <col min="8" max="8" width="10.7109375" style="23" customWidth="1"/>
    <col min="9" max="15" width="11.42578125" style="23"/>
    <col min="16" max="16" width="13.85546875" style="23" customWidth="1"/>
    <col min="17" max="257" width="11.42578125" style="23"/>
    <col min="258" max="258" width="26.85546875" style="23" bestFit="1" customWidth="1"/>
    <col min="259" max="263" width="11.7109375" style="23" customWidth="1"/>
    <col min="264" max="264" width="10.7109375" style="23" customWidth="1"/>
    <col min="265" max="271" width="11.42578125" style="23"/>
    <col min="272" max="272" width="13.85546875" style="23" customWidth="1"/>
    <col min="273" max="513" width="11.42578125" style="23"/>
    <col min="514" max="514" width="26.85546875" style="23" bestFit="1" customWidth="1"/>
    <col min="515" max="519" width="11.7109375" style="23" customWidth="1"/>
    <col min="520" max="520" width="10.7109375" style="23" customWidth="1"/>
    <col min="521" max="527" width="11.42578125" style="23"/>
    <col min="528" max="528" width="13.85546875" style="23" customWidth="1"/>
    <col min="529" max="769" width="11.42578125" style="23"/>
    <col min="770" max="770" width="26.85546875" style="23" bestFit="1" customWidth="1"/>
    <col min="771" max="775" width="11.7109375" style="23" customWidth="1"/>
    <col min="776" max="776" width="10.7109375" style="23" customWidth="1"/>
    <col min="777" max="783" width="11.42578125" style="23"/>
    <col min="784" max="784" width="13.85546875" style="23" customWidth="1"/>
    <col min="785" max="1025" width="11.42578125" style="23"/>
    <col min="1026" max="1026" width="26.85546875" style="23" bestFit="1" customWidth="1"/>
    <col min="1027" max="1031" width="11.7109375" style="23" customWidth="1"/>
    <col min="1032" max="1032" width="10.7109375" style="23" customWidth="1"/>
    <col min="1033" max="1039" width="11.42578125" style="23"/>
    <col min="1040" max="1040" width="13.85546875" style="23" customWidth="1"/>
    <col min="1041" max="1281" width="11.42578125" style="23"/>
    <col min="1282" max="1282" width="26.85546875" style="23" bestFit="1" customWidth="1"/>
    <col min="1283" max="1287" width="11.7109375" style="23" customWidth="1"/>
    <col min="1288" max="1288" width="10.7109375" style="23" customWidth="1"/>
    <col min="1289" max="1295" width="11.42578125" style="23"/>
    <col min="1296" max="1296" width="13.85546875" style="23" customWidth="1"/>
    <col min="1297" max="1537" width="11.42578125" style="23"/>
    <col min="1538" max="1538" width="26.85546875" style="23" bestFit="1" customWidth="1"/>
    <col min="1539" max="1543" width="11.7109375" style="23" customWidth="1"/>
    <col min="1544" max="1544" width="10.7109375" style="23" customWidth="1"/>
    <col min="1545" max="1551" width="11.42578125" style="23"/>
    <col min="1552" max="1552" width="13.85546875" style="23" customWidth="1"/>
    <col min="1553" max="1793" width="11.42578125" style="23"/>
    <col min="1794" max="1794" width="26.85546875" style="23" bestFit="1" customWidth="1"/>
    <col min="1795" max="1799" width="11.7109375" style="23" customWidth="1"/>
    <col min="1800" max="1800" width="10.7109375" style="23" customWidth="1"/>
    <col min="1801" max="1807" width="11.42578125" style="23"/>
    <col min="1808" max="1808" width="13.85546875" style="23" customWidth="1"/>
    <col min="1809" max="2049" width="11.42578125" style="23"/>
    <col min="2050" max="2050" width="26.85546875" style="23" bestFit="1" customWidth="1"/>
    <col min="2051" max="2055" width="11.7109375" style="23" customWidth="1"/>
    <col min="2056" max="2056" width="10.7109375" style="23" customWidth="1"/>
    <col min="2057" max="2063" width="11.42578125" style="23"/>
    <col min="2064" max="2064" width="13.85546875" style="23" customWidth="1"/>
    <col min="2065" max="2305" width="11.42578125" style="23"/>
    <col min="2306" max="2306" width="26.85546875" style="23" bestFit="1" customWidth="1"/>
    <col min="2307" max="2311" width="11.7109375" style="23" customWidth="1"/>
    <col min="2312" max="2312" width="10.7109375" style="23" customWidth="1"/>
    <col min="2313" max="2319" width="11.42578125" style="23"/>
    <col min="2320" max="2320" width="13.85546875" style="23" customWidth="1"/>
    <col min="2321" max="2561" width="11.42578125" style="23"/>
    <col min="2562" max="2562" width="26.85546875" style="23" bestFit="1" customWidth="1"/>
    <col min="2563" max="2567" width="11.7109375" style="23" customWidth="1"/>
    <col min="2568" max="2568" width="10.7109375" style="23" customWidth="1"/>
    <col min="2569" max="2575" width="11.42578125" style="23"/>
    <col min="2576" max="2576" width="13.85546875" style="23" customWidth="1"/>
    <col min="2577" max="2817" width="11.42578125" style="23"/>
    <col min="2818" max="2818" width="26.85546875" style="23" bestFit="1" customWidth="1"/>
    <col min="2819" max="2823" width="11.7109375" style="23" customWidth="1"/>
    <col min="2824" max="2824" width="10.7109375" style="23" customWidth="1"/>
    <col min="2825" max="2831" width="11.42578125" style="23"/>
    <col min="2832" max="2832" width="13.85546875" style="23" customWidth="1"/>
    <col min="2833" max="3073" width="11.42578125" style="23"/>
    <col min="3074" max="3074" width="26.85546875" style="23" bestFit="1" customWidth="1"/>
    <col min="3075" max="3079" width="11.7109375" style="23" customWidth="1"/>
    <col min="3080" max="3080" width="10.7109375" style="23" customWidth="1"/>
    <col min="3081" max="3087" width="11.42578125" style="23"/>
    <col min="3088" max="3088" width="13.85546875" style="23" customWidth="1"/>
    <col min="3089" max="3329" width="11.42578125" style="23"/>
    <col min="3330" max="3330" width="26.85546875" style="23" bestFit="1" customWidth="1"/>
    <col min="3331" max="3335" width="11.7109375" style="23" customWidth="1"/>
    <col min="3336" max="3336" width="10.7109375" style="23" customWidth="1"/>
    <col min="3337" max="3343" width="11.42578125" style="23"/>
    <col min="3344" max="3344" width="13.85546875" style="23" customWidth="1"/>
    <col min="3345" max="3585" width="11.42578125" style="23"/>
    <col min="3586" max="3586" width="26.85546875" style="23" bestFit="1" customWidth="1"/>
    <col min="3587" max="3591" width="11.7109375" style="23" customWidth="1"/>
    <col min="3592" max="3592" width="10.7109375" style="23" customWidth="1"/>
    <col min="3593" max="3599" width="11.42578125" style="23"/>
    <col min="3600" max="3600" width="13.85546875" style="23" customWidth="1"/>
    <col min="3601" max="3841" width="11.42578125" style="23"/>
    <col min="3842" max="3842" width="26.85546875" style="23" bestFit="1" customWidth="1"/>
    <col min="3843" max="3847" width="11.7109375" style="23" customWidth="1"/>
    <col min="3848" max="3848" width="10.7109375" style="23" customWidth="1"/>
    <col min="3849" max="3855" width="11.42578125" style="23"/>
    <col min="3856" max="3856" width="13.85546875" style="23" customWidth="1"/>
    <col min="3857" max="4097" width="11.42578125" style="23"/>
    <col min="4098" max="4098" width="26.85546875" style="23" bestFit="1" customWidth="1"/>
    <col min="4099" max="4103" width="11.7109375" style="23" customWidth="1"/>
    <col min="4104" max="4104" width="10.7109375" style="23" customWidth="1"/>
    <col min="4105" max="4111" width="11.42578125" style="23"/>
    <col min="4112" max="4112" width="13.85546875" style="23" customWidth="1"/>
    <col min="4113" max="4353" width="11.42578125" style="23"/>
    <col min="4354" max="4354" width="26.85546875" style="23" bestFit="1" customWidth="1"/>
    <col min="4355" max="4359" width="11.7109375" style="23" customWidth="1"/>
    <col min="4360" max="4360" width="10.7109375" style="23" customWidth="1"/>
    <col min="4361" max="4367" width="11.42578125" style="23"/>
    <col min="4368" max="4368" width="13.85546875" style="23" customWidth="1"/>
    <col min="4369" max="4609" width="11.42578125" style="23"/>
    <col min="4610" max="4610" width="26.85546875" style="23" bestFit="1" customWidth="1"/>
    <col min="4611" max="4615" width="11.7109375" style="23" customWidth="1"/>
    <col min="4616" max="4616" width="10.7109375" style="23" customWidth="1"/>
    <col min="4617" max="4623" width="11.42578125" style="23"/>
    <col min="4624" max="4624" width="13.85546875" style="23" customWidth="1"/>
    <col min="4625" max="4865" width="11.42578125" style="23"/>
    <col min="4866" max="4866" width="26.85546875" style="23" bestFit="1" customWidth="1"/>
    <col min="4867" max="4871" width="11.7109375" style="23" customWidth="1"/>
    <col min="4872" max="4872" width="10.7109375" style="23" customWidth="1"/>
    <col min="4873" max="4879" width="11.42578125" style="23"/>
    <col min="4880" max="4880" width="13.85546875" style="23" customWidth="1"/>
    <col min="4881" max="5121" width="11.42578125" style="23"/>
    <col min="5122" max="5122" width="26.85546875" style="23" bestFit="1" customWidth="1"/>
    <col min="5123" max="5127" width="11.7109375" style="23" customWidth="1"/>
    <col min="5128" max="5128" width="10.7109375" style="23" customWidth="1"/>
    <col min="5129" max="5135" width="11.42578125" style="23"/>
    <col min="5136" max="5136" width="13.85546875" style="23" customWidth="1"/>
    <col min="5137" max="5377" width="11.42578125" style="23"/>
    <col min="5378" max="5378" width="26.85546875" style="23" bestFit="1" customWidth="1"/>
    <col min="5379" max="5383" width="11.7109375" style="23" customWidth="1"/>
    <col min="5384" max="5384" width="10.7109375" style="23" customWidth="1"/>
    <col min="5385" max="5391" width="11.42578125" style="23"/>
    <col min="5392" max="5392" width="13.85546875" style="23" customWidth="1"/>
    <col min="5393" max="5633" width="11.42578125" style="23"/>
    <col min="5634" max="5634" width="26.85546875" style="23" bestFit="1" customWidth="1"/>
    <col min="5635" max="5639" width="11.7109375" style="23" customWidth="1"/>
    <col min="5640" max="5640" width="10.7109375" style="23" customWidth="1"/>
    <col min="5641" max="5647" width="11.42578125" style="23"/>
    <col min="5648" max="5648" width="13.85546875" style="23" customWidth="1"/>
    <col min="5649" max="5889" width="11.42578125" style="23"/>
    <col min="5890" max="5890" width="26.85546875" style="23" bestFit="1" customWidth="1"/>
    <col min="5891" max="5895" width="11.7109375" style="23" customWidth="1"/>
    <col min="5896" max="5896" width="10.7109375" style="23" customWidth="1"/>
    <col min="5897" max="5903" width="11.42578125" style="23"/>
    <col min="5904" max="5904" width="13.85546875" style="23" customWidth="1"/>
    <col min="5905" max="6145" width="11.42578125" style="23"/>
    <col min="6146" max="6146" width="26.85546875" style="23" bestFit="1" customWidth="1"/>
    <col min="6147" max="6151" width="11.7109375" style="23" customWidth="1"/>
    <col min="6152" max="6152" width="10.7109375" style="23" customWidth="1"/>
    <col min="6153" max="6159" width="11.42578125" style="23"/>
    <col min="6160" max="6160" width="13.85546875" style="23" customWidth="1"/>
    <col min="6161" max="6401" width="11.42578125" style="23"/>
    <col min="6402" max="6402" width="26.85546875" style="23" bestFit="1" customWidth="1"/>
    <col min="6403" max="6407" width="11.7109375" style="23" customWidth="1"/>
    <col min="6408" max="6408" width="10.7109375" style="23" customWidth="1"/>
    <col min="6409" max="6415" width="11.42578125" style="23"/>
    <col min="6416" max="6416" width="13.85546875" style="23" customWidth="1"/>
    <col min="6417" max="6657" width="11.42578125" style="23"/>
    <col min="6658" max="6658" width="26.85546875" style="23" bestFit="1" customWidth="1"/>
    <col min="6659" max="6663" width="11.7109375" style="23" customWidth="1"/>
    <col min="6664" max="6664" width="10.7109375" style="23" customWidth="1"/>
    <col min="6665" max="6671" width="11.42578125" style="23"/>
    <col min="6672" max="6672" width="13.85546875" style="23" customWidth="1"/>
    <col min="6673" max="6913" width="11.42578125" style="23"/>
    <col min="6914" max="6914" width="26.85546875" style="23" bestFit="1" customWidth="1"/>
    <col min="6915" max="6919" width="11.7109375" style="23" customWidth="1"/>
    <col min="6920" max="6920" width="10.7109375" style="23" customWidth="1"/>
    <col min="6921" max="6927" width="11.42578125" style="23"/>
    <col min="6928" max="6928" width="13.85546875" style="23" customWidth="1"/>
    <col min="6929" max="7169" width="11.42578125" style="23"/>
    <col min="7170" max="7170" width="26.85546875" style="23" bestFit="1" customWidth="1"/>
    <col min="7171" max="7175" width="11.7109375" style="23" customWidth="1"/>
    <col min="7176" max="7176" width="10.7109375" style="23" customWidth="1"/>
    <col min="7177" max="7183" width="11.42578125" style="23"/>
    <col min="7184" max="7184" width="13.85546875" style="23" customWidth="1"/>
    <col min="7185" max="7425" width="11.42578125" style="23"/>
    <col min="7426" max="7426" width="26.85546875" style="23" bestFit="1" customWidth="1"/>
    <col min="7427" max="7431" width="11.7109375" style="23" customWidth="1"/>
    <col min="7432" max="7432" width="10.7109375" style="23" customWidth="1"/>
    <col min="7433" max="7439" width="11.42578125" style="23"/>
    <col min="7440" max="7440" width="13.85546875" style="23" customWidth="1"/>
    <col min="7441" max="7681" width="11.42578125" style="23"/>
    <col min="7682" max="7682" width="26.85546875" style="23" bestFit="1" customWidth="1"/>
    <col min="7683" max="7687" width="11.7109375" style="23" customWidth="1"/>
    <col min="7688" max="7688" width="10.7109375" style="23" customWidth="1"/>
    <col min="7689" max="7695" width="11.42578125" style="23"/>
    <col min="7696" max="7696" width="13.85546875" style="23" customWidth="1"/>
    <col min="7697" max="7937" width="11.42578125" style="23"/>
    <col min="7938" max="7938" width="26.85546875" style="23" bestFit="1" customWidth="1"/>
    <col min="7939" max="7943" width="11.7109375" style="23" customWidth="1"/>
    <col min="7944" max="7944" width="10.7109375" style="23" customWidth="1"/>
    <col min="7945" max="7951" width="11.42578125" style="23"/>
    <col min="7952" max="7952" width="13.85546875" style="23" customWidth="1"/>
    <col min="7953" max="8193" width="11.42578125" style="23"/>
    <col min="8194" max="8194" width="26.85546875" style="23" bestFit="1" customWidth="1"/>
    <col min="8195" max="8199" width="11.7109375" style="23" customWidth="1"/>
    <col min="8200" max="8200" width="10.7109375" style="23" customWidth="1"/>
    <col min="8201" max="8207" width="11.42578125" style="23"/>
    <col min="8208" max="8208" width="13.85546875" style="23" customWidth="1"/>
    <col min="8209" max="8449" width="11.42578125" style="23"/>
    <col min="8450" max="8450" width="26.85546875" style="23" bestFit="1" customWidth="1"/>
    <col min="8451" max="8455" width="11.7109375" style="23" customWidth="1"/>
    <col min="8456" max="8456" width="10.7109375" style="23" customWidth="1"/>
    <col min="8457" max="8463" width="11.42578125" style="23"/>
    <col min="8464" max="8464" width="13.85546875" style="23" customWidth="1"/>
    <col min="8465" max="8705" width="11.42578125" style="23"/>
    <col min="8706" max="8706" width="26.85546875" style="23" bestFit="1" customWidth="1"/>
    <col min="8707" max="8711" width="11.7109375" style="23" customWidth="1"/>
    <col min="8712" max="8712" width="10.7109375" style="23" customWidth="1"/>
    <col min="8713" max="8719" width="11.42578125" style="23"/>
    <col min="8720" max="8720" width="13.85546875" style="23" customWidth="1"/>
    <col min="8721" max="8961" width="11.42578125" style="23"/>
    <col min="8962" max="8962" width="26.85546875" style="23" bestFit="1" customWidth="1"/>
    <col min="8963" max="8967" width="11.7109375" style="23" customWidth="1"/>
    <col min="8968" max="8968" width="10.7109375" style="23" customWidth="1"/>
    <col min="8969" max="8975" width="11.42578125" style="23"/>
    <col min="8976" max="8976" width="13.85546875" style="23" customWidth="1"/>
    <col min="8977" max="9217" width="11.42578125" style="23"/>
    <col min="9218" max="9218" width="26.85546875" style="23" bestFit="1" customWidth="1"/>
    <col min="9219" max="9223" width="11.7109375" style="23" customWidth="1"/>
    <col min="9224" max="9224" width="10.7109375" style="23" customWidth="1"/>
    <col min="9225" max="9231" width="11.42578125" style="23"/>
    <col min="9232" max="9232" width="13.85546875" style="23" customWidth="1"/>
    <col min="9233" max="9473" width="11.42578125" style="23"/>
    <col min="9474" max="9474" width="26.85546875" style="23" bestFit="1" customWidth="1"/>
    <col min="9475" max="9479" width="11.7109375" style="23" customWidth="1"/>
    <col min="9480" max="9480" width="10.7109375" style="23" customWidth="1"/>
    <col min="9481" max="9487" width="11.42578125" style="23"/>
    <col min="9488" max="9488" width="13.85546875" style="23" customWidth="1"/>
    <col min="9489" max="9729" width="11.42578125" style="23"/>
    <col min="9730" max="9730" width="26.85546875" style="23" bestFit="1" customWidth="1"/>
    <col min="9731" max="9735" width="11.7109375" style="23" customWidth="1"/>
    <col min="9736" max="9736" width="10.7109375" style="23" customWidth="1"/>
    <col min="9737" max="9743" width="11.42578125" style="23"/>
    <col min="9744" max="9744" width="13.85546875" style="23" customWidth="1"/>
    <col min="9745" max="9985" width="11.42578125" style="23"/>
    <col min="9986" max="9986" width="26.85546875" style="23" bestFit="1" customWidth="1"/>
    <col min="9987" max="9991" width="11.7109375" style="23" customWidth="1"/>
    <col min="9992" max="9992" width="10.7109375" style="23" customWidth="1"/>
    <col min="9993" max="9999" width="11.42578125" style="23"/>
    <col min="10000" max="10000" width="13.85546875" style="23" customWidth="1"/>
    <col min="10001" max="10241" width="11.42578125" style="23"/>
    <col min="10242" max="10242" width="26.85546875" style="23" bestFit="1" customWidth="1"/>
    <col min="10243" max="10247" width="11.7109375" style="23" customWidth="1"/>
    <col min="10248" max="10248" width="10.7109375" style="23" customWidth="1"/>
    <col min="10249" max="10255" width="11.42578125" style="23"/>
    <col min="10256" max="10256" width="13.85546875" style="23" customWidth="1"/>
    <col min="10257" max="10497" width="11.42578125" style="23"/>
    <col min="10498" max="10498" width="26.85546875" style="23" bestFit="1" customWidth="1"/>
    <col min="10499" max="10503" width="11.7109375" style="23" customWidth="1"/>
    <col min="10504" max="10504" width="10.7109375" style="23" customWidth="1"/>
    <col min="10505" max="10511" width="11.42578125" style="23"/>
    <col min="10512" max="10512" width="13.85546875" style="23" customWidth="1"/>
    <col min="10513" max="10753" width="11.42578125" style="23"/>
    <col min="10754" max="10754" width="26.85546875" style="23" bestFit="1" customWidth="1"/>
    <col min="10755" max="10759" width="11.7109375" style="23" customWidth="1"/>
    <col min="10760" max="10760" width="10.7109375" style="23" customWidth="1"/>
    <col min="10761" max="10767" width="11.42578125" style="23"/>
    <col min="10768" max="10768" width="13.85546875" style="23" customWidth="1"/>
    <col min="10769" max="11009" width="11.42578125" style="23"/>
    <col min="11010" max="11010" width="26.85546875" style="23" bestFit="1" customWidth="1"/>
    <col min="11011" max="11015" width="11.7109375" style="23" customWidth="1"/>
    <col min="11016" max="11016" width="10.7109375" style="23" customWidth="1"/>
    <col min="11017" max="11023" width="11.42578125" style="23"/>
    <col min="11024" max="11024" width="13.85546875" style="23" customWidth="1"/>
    <col min="11025" max="11265" width="11.42578125" style="23"/>
    <col min="11266" max="11266" width="26.85546875" style="23" bestFit="1" customWidth="1"/>
    <col min="11267" max="11271" width="11.7109375" style="23" customWidth="1"/>
    <col min="11272" max="11272" width="10.7109375" style="23" customWidth="1"/>
    <col min="11273" max="11279" width="11.42578125" style="23"/>
    <col min="11280" max="11280" width="13.85546875" style="23" customWidth="1"/>
    <col min="11281" max="11521" width="11.42578125" style="23"/>
    <col min="11522" max="11522" width="26.85546875" style="23" bestFit="1" customWidth="1"/>
    <col min="11523" max="11527" width="11.7109375" style="23" customWidth="1"/>
    <col min="11528" max="11528" width="10.7109375" style="23" customWidth="1"/>
    <col min="11529" max="11535" width="11.42578125" style="23"/>
    <col min="11536" max="11536" width="13.85546875" style="23" customWidth="1"/>
    <col min="11537" max="11777" width="11.42578125" style="23"/>
    <col min="11778" max="11778" width="26.85546875" style="23" bestFit="1" customWidth="1"/>
    <col min="11779" max="11783" width="11.7109375" style="23" customWidth="1"/>
    <col min="11784" max="11784" width="10.7109375" style="23" customWidth="1"/>
    <col min="11785" max="11791" width="11.42578125" style="23"/>
    <col min="11792" max="11792" width="13.85546875" style="23" customWidth="1"/>
    <col min="11793" max="12033" width="11.42578125" style="23"/>
    <col min="12034" max="12034" width="26.85546875" style="23" bestFit="1" customWidth="1"/>
    <col min="12035" max="12039" width="11.7109375" style="23" customWidth="1"/>
    <col min="12040" max="12040" width="10.7109375" style="23" customWidth="1"/>
    <col min="12041" max="12047" width="11.42578125" style="23"/>
    <col min="12048" max="12048" width="13.85546875" style="23" customWidth="1"/>
    <col min="12049" max="12289" width="11.42578125" style="23"/>
    <col min="12290" max="12290" width="26.85546875" style="23" bestFit="1" customWidth="1"/>
    <col min="12291" max="12295" width="11.7109375" style="23" customWidth="1"/>
    <col min="12296" max="12296" width="10.7109375" style="23" customWidth="1"/>
    <col min="12297" max="12303" width="11.42578125" style="23"/>
    <col min="12304" max="12304" width="13.85546875" style="23" customWidth="1"/>
    <col min="12305" max="12545" width="11.42578125" style="23"/>
    <col min="12546" max="12546" width="26.85546875" style="23" bestFit="1" customWidth="1"/>
    <col min="12547" max="12551" width="11.7109375" style="23" customWidth="1"/>
    <col min="12552" max="12552" width="10.7109375" style="23" customWidth="1"/>
    <col min="12553" max="12559" width="11.42578125" style="23"/>
    <col min="12560" max="12560" width="13.85546875" style="23" customWidth="1"/>
    <col min="12561" max="12801" width="11.42578125" style="23"/>
    <col min="12802" max="12802" width="26.85546875" style="23" bestFit="1" customWidth="1"/>
    <col min="12803" max="12807" width="11.7109375" style="23" customWidth="1"/>
    <col min="12808" max="12808" width="10.7109375" style="23" customWidth="1"/>
    <col min="12809" max="12815" width="11.42578125" style="23"/>
    <col min="12816" max="12816" width="13.85546875" style="23" customWidth="1"/>
    <col min="12817" max="13057" width="11.42578125" style="23"/>
    <col min="13058" max="13058" width="26.85546875" style="23" bestFit="1" customWidth="1"/>
    <col min="13059" max="13063" width="11.7109375" style="23" customWidth="1"/>
    <col min="13064" max="13064" width="10.7109375" style="23" customWidth="1"/>
    <col min="13065" max="13071" width="11.42578125" style="23"/>
    <col min="13072" max="13072" width="13.85546875" style="23" customWidth="1"/>
    <col min="13073" max="13313" width="11.42578125" style="23"/>
    <col min="13314" max="13314" width="26.85546875" style="23" bestFit="1" customWidth="1"/>
    <col min="13315" max="13319" width="11.7109375" style="23" customWidth="1"/>
    <col min="13320" max="13320" width="10.7109375" style="23" customWidth="1"/>
    <col min="13321" max="13327" width="11.42578125" style="23"/>
    <col min="13328" max="13328" width="13.85546875" style="23" customWidth="1"/>
    <col min="13329" max="13569" width="11.42578125" style="23"/>
    <col min="13570" max="13570" width="26.85546875" style="23" bestFit="1" customWidth="1"/>
    <col min="13571" max="13575" width="11.7109375" style="23" customWidth="1"/>
    <col min="13576" max="13576" width="10.7109375" style="23" customWidth="1"/>
    <col min="13577" max="13583" width="11.42578125" style="23"/>
    <col min="13584" max="13584" width="13.85546875" style="23" customWidth="1"/>
    <col min="13585" max="13825" width="11.42578125" style="23"/>
    <col min="13826" max="13826" width="26.85546875" style="23" bestFit="1" customWidth="1"/>
    <col min="13827" max="13831" width="11.7109375" style="23" customWidth="1"/>
    <col min="13832" max="13832" width="10.7109375" style="23" customWidth="1"/>
    <col min="13833" max="13839" width="11.42578125" style="23"/>
    <col min="13840" max="13840" width="13.85546875" style="23" customWidth="1"/>
    <col min="13841" max="14081" width="11.42578125" style="23"/>
    <col min="14082" max="14082" width="26.85546875" style="23" bestFit="1" customWidth="1"/>
    <col min="14083" max="14087" width="11.7109375" style="23" customWidth="1"/>
    <col min="14088" max="14088" width="10.7109375" style="23" customWidth="1"/>
    <col min="14089" max="14095" width="11.42578125" style="23"/>
    <col min="14096" max="14096" width="13.85546875" style="23" customWidth="1"/>
    <col min="14097" max="14337" width="11.42578125" style="23"/>
    <col min="14338" max="14338" width="26.85546875" style="23" bestFit="1" customWidth="1"/>
    <col min="14339" max="14343" width="11.7109375" style="23" customWidth="1"/>
    <col min="14344" max="14344" width="10.7109375" style="23" customWidth="1"/>
    <col min="14345" max="14351" width="11.42578125" style="23"/>
    <col min="14352" max="14352" width="13.85546875" style="23" customWidth="1"/>
    <col min="14353" max="14593" width="11.42578125" style="23"/>
    <col min="14594" max="14594" width="26.85546875" style="23" bestFit="1" customWidth="1"/>
    <col min="14595" max="14599" width="11.7109375" style="23" customWidth="1"/>
    <col min="14600" max="14600" width="10.7109375" style="23" customWidth="1"/>
    <col min="14601" max="14607" width="11.42578125" style="23"/>
    <col min="14608" max="14608" width="13.85546875" style="23" customWidth="1"/>
    <col min="14609" max="14849" width="11.42578125" style="23"/>
    <col min="14850" max="14850" width="26.85546875" style="23" bestFit="1" customWidth="1"/>
    <col min="14851" max="14855" width="11.7109375" style="23" customWidth="1"/>
    <col min="14856" max="14856" width="10.7109375" style="23" customWidth="1"/>
    <col min="14857" max="14863" width="11.42578125" style="23"/>
    <col min="14864" max="14864" width="13.85546875" style="23" customWidth="1"/>
    <col min="14865" max="15105" width="11.42578125" style="23"/>
    <col min="15106" max="15106" width="26.85546875" style="23" bestFit="1" customWidth="1"/>
    <col min="15107" max="15111" width="11.7109375" style="23" customWidth="1"/>
    <col min="15112" max="15112" width="10.7109375" style="23" customWidth="1"/>
    <col min="15113" max="15119" width="11.42578125" style="23"/>
    <col min="15120" max="15120" width="13.85546875" style="23" customWidth="1"/>
    <col min="15121" max="15361" width="11.42578125" style="23"/>
    <col min="15362" max="15362" width="26.85546875" style="23" bestFit="1" customWidth="1"/>
    <col min="15363" max="15367" width="11.7109375" style="23" customWidth="1"/>
    <col min="15368" max="15368" width="10.7109375" style="23" customWidth="1"/>
    <col min="15369" max="15375" width="11.42578125" style="23"/>
    <col min="15376" max="15376" width="13.85546875" style="23" customWidth="1"/>
    <col min="15377" max="15617" width="11.42578125" style="23"/>
    <col min="15618" max="15618" width="26.85546875" style="23" bestFit="1" customWidth="1"/>
    <col min="15619" max="15623" width="11.7109375" style="23" customWidth="1"/>
    <col min="15624" max="15624" width="10.7109375" style="23" customWidth="1"/>
    <col min="15625" max="15631" width="11.42578125" style="23"/>
    <col min="15632" max="15632" width="13.85546875" style="23" customWidth="1"/>
    <col min="15633" max="15873" width="11.42578125" style="23"/>
    <col min="15874" max="15874" width="26.85546875" style="23" bestFit="1" customWidth="1"/>
    <col min="15875" max="15879" width="11.7109375" style="23" customWidth="1"/>
    <col min="15880" max="15880" width="10.7109375" style="23" customWidth="1"/>
    <col min="15881" max="15887" width="11.42578125" style="23"/>
    <col min="15888" max="15888" width="13.85546875" style="23" customWidth="1"/>
    <col min="15889" max="16129" width="11.42578125" style="23"/>
    <col min="16130" max="16130" width="26.85546875" style="23" bestFit="1" customWidth="1"/>
    <col min="16131" max="16135" width="11.7109375" style="23" customWidth="1"/>
    <col min="16136" max="16136" width="10.7109375" style="23" customWidth="1"/>
    <col min="16137" max="16143" width="11.42578125" style="23"/>
    <col min="16144" max="16144" width="13.85546875" style="23" customWidth="1"/>
    <col min="16145" max="16384" width="11.42578125" style="23"/>
  </cols>
  <sheetData>
    <row r="6" spans="2:7" ht="20.25" customHeight="1">
      <c r="B6" s="27" t="s">
        <v>315</v>
      </c>
      <c r="C6" s="28"/>
      <c r="D6" s="28"/>
      <c r="E6" s="28"/>
      <c r="F6" s="28"/>
      <c r="G6" s="29"/>
    </row>
    <row r="7" spans="2:7" ht="25.5">
      <c r="B7" s="30" t="s">
        <v>267</v>
      </c>
      <c r="C7" s="329" t="str">
        <f>actualizaciones!A3</f>
        <v>acumulado julio 2009</v>
      </c>
      <c r="D7" s="330" t="s">
        <v>27</v>
      </c>
      <c r="E7" s="329" t="str">
        <f>actualizaciones!A2</f>
        <v xml:space="preserve">acumulado julio 2010 </v>
      </c>
      <c r="F7" s="330" t="s">
        <v>27</v>
      </c>
      <c r="G7" s="330" t="s">
        <v>28</v>
      </c>
    </row>
    <row r="8" spans="2:7" ht="15" customHeight="1">
      <c r="B8" s="98" t="s">
        <v>268</v>
      </c>
      <c r="C8" s="107"/>
      <c r="D8" s="107"/>
      <c r="E8" s="107"/>
      <c r="F8" s="107"/>
      <c r="G8" s="108"/>
    </row>
    <row r="9" spans="2:7">
      <c r="B9" s="101" t="s">
        <v>234</v>
      </c>
      <c r="C9" s="425">
        <f>GETPIVOTDATA("Suma de TOTAL GENERAL",'[1]tabla dinámica municipios'!$G$4,"PAIS/INDICADOR","PERNOCTACIONES","AÑO",2009)</f>
        <v>20942185</v>
      </c>
      <c r="D9" s="426">
        <f>C9/C9</f>
        <v>1</v>
      </c>
      <c r="E9" s="425">
        <f>GETPIVOTDATA("Suma de TOTAL GENERAL",'[1]tabla dinámica municipios'!$G$4,"PAIS/INDICADOR","PERNOCTACIONES","AÑO",2010)</f>
        <v>20533466</v>
      </c>
      <c r="F9" s="426">
        <f>E9/E9</f>
        <v>1</v>
      </c>
      <c r="G9" s="427">
        <f>(E9-C9)/C9</f>
        <v>-1.9516540418299238E-2</v>
      </c>
    </row>
    <row r="10" spans="2:7">
      <c r="B10" s="103" t="s">
        <v>235</v>
      </c>
      <c r="C10" s="428">
        <f>GETPIVOTDATA("Suma de TOTAL HOTELERO",'[1]tabla dinámica municipios'!$G$4,"PAIS/INDICADOR","PERNOCTACIONES","AÑO",2009)</f>
        <v>11565062</v>
      </c>
      <c r="D10" s="429">
        <f>C10/C9</f>
        <v>0.55223760080430961</v>
      </c>
      <c r="E10" s="428">
        <f>GETPIVOTDATA("Suma de TOTAL HOTELERO",'[1]tabla dinámica municipios'!$G$4,"PAIS/INDICADOR","PERNOCTACIONES","AÑO",2010)</f>
        <v>11697161</v>
      </c>
      <c r="F10" s="429">
        <f>E10/E9</f>
        <v>0.56966325120172112</v>
      </c>
      <c r="G10" s="430">
        <f>(E10-C10)/C10</f>
        <v>1.1422247455309795E-2</v>
      </c>
    </row>
    <row r="11" spans="2:7">
      <c r="B11" s="431" t="s">
        <v>236</v>
      </c>
      <c r="C11" s="432">
        <f>GETPIVOTDATA("Suma de Extrahoteleros",'[1]tabla dinámica municipios'!$G$4,"PAIS/INDICADOR","PERNOCTACIONES","AÑO",2009)</f>
        <v>9377123</v>
      </c>
      <c r="D11" s="433">
        <f>C11/C9</f>
        <v>0.44776239919569044</v>
      </c>
      <c r="E11" s="432">
        <f>GETPIVOTDATA("Suma de Extrahoteleros",'[1]tabla dinámica municipios'!$G$4,"PAIS/INDICADOR","PERNOCTACIONES","AÑO",2010)</f>
        <v>8836305</v>
      </c>
      <c r="F11" s="433">
        <f>E11/E9</f>
        <v>0.43033674879827888</v>
      </c>
      <c r="G11" s="434">
        <f>(E11-C11)/C11</f>
        <v>-5.7674192820121907E-2</v>
      </c>
    </row>
    <row r="12" spans="2:7" ht="15" customHeight="1">
      <c r="B12" s="98" t="s">
        <v>89</v>
      </c>
      <c r="C12" s="435"/>
      <c r="D12" s="435"/>
      <c r="E12" s="435"/>
      <c r="F12" s="435"/>
      <c r="G12" s="436"/>
    </row>
    <row r="13" spans="2:7">
      <c r="B13" s="109" t="s">
        <v>234</v>
      </c>
      <c r="C13" s="437">
        <f>GETPIVOTDATA("dato",'[1]tabla dinámica municipios'!$A$4,"indicador","Pernoctaciones","categoría","TOTAL","municipio","ADEJE","año",2009)</f>
        <v>7711663</v>
      </c>
      <c r="D13" s="438">
        <f>C13/C13</f>
        <v>1</v>
      </c>
      <c r="E13" s="437">
        <f>GETPIVOTDATA("dato",'[1]tabla dinámica municipios'!$A$4,"indicador","Pernoctaciones","categoría","TOTAL","municipio","ADEJE","año",2010)</f>
        <v>7698603</v>
      </c>
      <c r="F13" s="438">
        <f>E13/E13</f>
        <v>1</v>
      </c>
      <c r="G13" s="439">
        <f>(E13-C13)/C13</f>
        <v>-1.6935387347709566E-3</v>
      </c>
    </row>
    <row r="14" spans="2:7">
      <c r="B14" s="111" t="s">
        <v>235</v>
      </c>
      <c r="C14" s="461">
        <f>GETPIVOTDATA("dato",'[1]tabla dinámica municipios'!$A$4,"indicador","Pernoctaciones","categoría","Hoteleros","municipio","ADEJE","año",2009)</f>
        <v>4759902</v>
      </c>
      <c r="D14" s="441">
        <f>C14/C13</f>
        <v>0.61723418152478915</v>
      </c>
      <c r="E14" s="440">
        <f>GETPIVOTDATA("dato",'[1]tabla dinámica municipios'!$A$4,"indicador","Pernoctaciones","categoría","Hoteleros","municipio","ADEJE","año",2010)</f>
        <v>4862858</v>
      </c>
      <c r="F14" s="441">
        <f>E14/E13</f>
        <v>0.63165460019174913</v>
      </c>
      <c r="G14" s="442">
        <f>(E14-C14)/C14</f>
        <v>2.1629857085292931E-2</v>
      </c>
    </row>
    <row r="15" spans="2:7">
      <c r="B15" s="111" t="s">
        <v>236</v>
      </c>
      <c r="C15" s="461">
        <f>GETPIVOTDATA("dato",'[1]tabla dinámica municipios'!$A$4,"indicador","Pernoctaciones","categoría","Extrahoteleros","municipio","ADEJE","año",2009)</f>
        <v>2951761</v>
      </c>
      <c r="D15" s="441">
        <f>C15/C13</f>
        <v>0.38276581847521085</v>
      </c>
      <c r="E15" s="440">
        <f>GETPIVOTDATA("dato",'[1]tabla dinámica municipios'!$A$4,"indicador","Pernoctaciones","categoría","Extrahoteleros","municipio","ADEJE","año",2010)</f>
        <v>2835745</v>
      </c>
      <c r="F15" s="441">
        <f>E15/E14</f>
        <v>0.58314369862331983</v>
      </c>
      <c r="G15" s="442">
        <f>(E15-C15)/C15</f>
        <v>-3.9303995140527979E-2</v>
      </c>
    </row>
    <row r="16" spans="2:7" ht="15" customHeight="1">
      <c r="B16" s="98" t="s">
        <v>305</v>
      </c>
      <c r="C16" s="435"/>
      <c r="D16" s="435"/>
      <c r="E16" s="435"/>
      <c r="F16" s="435"/>
      <c r="G16" s="436"/>
    </row>
    <row r="17" spans="2:12">
      <c r="B17" s="111" t="s">
        <v>234</v>
      </c>
      <c r="C17" s="437">
        <f>GETPIVOTDATA("dato",'[1]tabla dinámica municipios'!$A$4,"indicador","Pernoctaciones","categoría","TOTAL","municipio","ARONA","año",2009)</f>
        <v>6591865</v>
      </c>
      <c r="D17" s="438">
        <f>C17/C17</f>
        <v>1</v>
      </c>
      <c r="E17" s="437">
        <f>GETPIVOTDATA("dato",'[1]tabla dinámica municipios'!$A$4,"indicador","Pernoctaciones","categoría","TOTAL","municipio","ARONA","año",2010)</f>
        <v>6476287</v>
      </c>
      <c r="F17" s="438">
        <f>E17/E17</f>
        <v>1</v>
      </c>
      <c r="G17" s="439">
        <f>(E17-C17)/C17</f>
        <v>-1.7533429461920109E-2</v>
      </c>
    </row>
    <row r="18" spans="2:12">
      <c r="B18" s="111" t="s">
        <v>235</v>
      </c>
      <c r="C18" s="440">
        <f>GETPIVOTDATA("dato",'[1]tabla dinámica municipios'!$A$4,"indicador","Pernoctaciones","categoría","Hoteleros","municipio","ARONA","año",2009)</f>
        <v>2787146</v>
      </c>
      <c r="D18" s="441">
        <f>C18/C17</f>
        <v>0.42281600123788943</v>
      </c>
      <c r="E18" s="440">
        <f>GETPIVOTDATA("dato",'[1]tabla dinámica municipios'!$A$4,"indicador","Pernoctaciones","categoría","Hoteleros","municipio","ARONA","año",2010)</f>
        <v>2876302</v>
      </c>
      <c r="F18" s="441">
        <f>E18/E17</f>
        <v>0.44412824817677166</v>
      </c>
      <c r="G18" s="442">
        <f>(E18-C18)/C18</f>
        <v>3.1988277614448613E-2</v>
      </c>
    </row>
    <row r="19" spans="2:12">
      <c r="B19" s="111" t="s">
        <v>236</v>
      </c>
      <c r="C19" s="443">
        <f>GETPIVOTDATA("dato",'[1]tabla dinámica municipios'!$A$4,"indicador","Pernoctaciones","categoría","Extrahoteleros","municipio","ARONA","año",2009)</f>
        <v>3804719</v>
      </c>
      <c r="D19" s="444">
        <f>C19/C17</f>
        <v>0.57718399876211057</v>
      </c>
      <c r="E19" s="443">
        <f>GETPIVOTDATA("dato",'[1]tabla dinámica municipios'!$A$4,"indicador","Pernoctaciones","categoría","Extrahoteleros","municipio","ARONA","año",2010)</f>
        <v>3599985</v>
      </c>
      <c r="F19" s="444">
        <f>E19/E17</f>
        <v>0.55587175182322834</v>
      </c>
      <c r="G19" s="442">
        <f>(E19-C19)/C19</f>
        <v>-5.3810544221531212E-2</v>
      </c>
    </row>
    <row r="20" spans="2:12" ht="15" customHeight="1">
      <c r="B20" s="98" t="s">
        <v>306</v>
      </c>
      <c r="C20" s="435"/>
      <c r="D20" s="435"/>
      <c r="E20" s="435"/>
      <c r="F20" s="435"/>
      <c r="G20" s="436"/>
    </row>
    <row r="21" spans="2:12">
      <c r="B21" s="111" t="s">
        <v>234</v>
      </c>
      <c r="C21" s="437">
        <f>GETPIVOTDATA("dato",'[1]tabla dinámica municipios'!$A$4,"indicador","Pernoctaciones","categoría","TOTAL","municipio","Puerto de la Cruz","año",2009)</f>
        <v>3360494</v>
      </c>
      <c r="D21" s="438">
        <f>C21/C21</f>
        <v>1</v>
      </c>
      <c r="E21" s="437">
        <f>GETPIVOTDATA("dato",'[1]tabla dinámica municipios'!$A$4,"indicador","Pernoctaciones","categoría","TOTAL","municipio","Puerto de la Cruz","año",2010)</f>
        <v>3090514</v>
      </c>
      <c r="F21" s="438">
        <f>E21/E21</f>
        <v>1</v>
      </c>
      <c r="G21" s="439">
        <f>(E21-C21)/C21</f>
        <v>-8.0339378674682951E-2</v>
      </c>
    </row>
    <row r="22" spans="2:12">
      <c r="B22" s="111" t="s">
        <v>235</v>
      </c>
      <c r="C22" s="440">
        <f>GETPIVOTDATA("dato",'[1]tabla dinámica municipios'!$A$4,"indicador","Pernoctaciones","categoría","Hoteleros","municipio","Puerto de la Cruz","año",2009)</f>
        <v>2131326</v>
      </c>
      <c r="D22" s="441">
        <f>C22/C21</f>
        <v>0.63422996737979598</v>
      </c>
      <c r="E22" s="440">
        <f>GETPIVOTDATA("dato",'[1]tabla dinámica municipios'!$A$4,"indicador","Pernoctaciones","categoría","Hoteleros","municipio","Puerto de la Cruz","año",2010)</f>
        <v>2079572</v>
      </c>
      <c r="F22" s="441">
        <f>E22/E21</f>
        <v>0.67288871689304752</v>
      </c>
      <c r="G22" s="442">
        <f>(E22-C22)/C22</f>
        <v>-2.428253584857502E-2</v>
      </c>
    </row>
    <row r="23" spans="2:12">
      <c r="B23" s="111" t="s">
        <v>236</v>
      </c>
      <c r="C23" s="443">
        <f>GETPIVOTDATA("dato",'[1]tabla dinámica municipios'!$A$4,"indicador","Pernoctaciones","categoría","Extrahoteleros","municipio","Puerto de la Cruz","año",2009)</f>
        <v>1229168</v>
      </c>
      <c r="D23" s="444">
        <f>C23/C21</f>
        <v>0.36577003262020408</v>
      </c>
      <c r="E23" s="443">
        <f>GETPIVOTDATA("dato",'[1]tabla dinámica municipios'!$A$4,"indicador","Pernoctaciones","categoría","Extrahoteleros","municipio","Puerto de la Cruz","año",2010)</f>
        <v>1010942</v>
      </c>
      <c r="F23" s="444">
        <f>E23/E21</f>
        <v>0.32711128310695242</v>
      </c>
      <c r="G23" s="442">
        <f>(E23-C23)/C23</f>
        <v>-0.17753960402483632</v>
      </c>
    </row>
    <row r="24" spans="2:12" ht="15" customHeight="1">
      <c r="B24" s="98" t="s">
        <v>307</v>
      </c>
      <c r="C24" s="435"/>
      <c r="D24" s="435"/>
      <c r="E24" s="435"/>
      <c r="F24" s="435"/>
      <c r="G24" s="436"/>
    </row>
    <row r="25" spans="2:12">
      <c r="B25" s="111" t="s">
        <v>234</v>
      </c>
      <c r="C25" s="437">
        <f>GETPIVOTDATA("dato",'[1]tabla dinámica municipios'!$A$4,"indicador","Pernoctaciones","categoría","TOTAL","municipio","SANTA CRUZ","año",2009)</f>
        <v>224256</v>
      </c>
      <c r="D25" s="438">
        <f>C25/C25</f>
        <v>1</v>
      </c>
      <c r="E25" s="437">
        <f>GETPIVOTDATA("dato",'[1]tabla dinámica municipios'!$A$4,"indicador","Pernoctaciones","categoría","TOTAL","municipio","SANTA CRUZ","año",2010)</f>
        <v>193668</v>
      </c>
      <c r="F25" s="438">
        <f>E25/E25</f>
        <v>1</v>
      </c>
      <c r="G25" s="445">
        <f>(E25-C25)/C25</f>
        <v>-0.13639768835616439</v>
      </c>
    </row>
    <row r="26" spans="2:12">
      <c r="B26" s="111" t="s">
        <v>235</v>
      </c>
      <c r="C26" s="440">
        <f>GETPIVOTDATA("dato",'[1]tabla dinámica municipios'!$A$4,"indicador","PERNOCTACIONES","categoría","Hoteleros","municipio","SANTA CRUZ","año",2009)</f>
        <v>224256</v>
      </c>
      <c r="D26" s="441">
        <f>C26/C25</f>
        <v>1</v>
      </c>
      <c r="E26" s="440">
        <f>GETPIVOTDATA("dato",'[1]tabla dinámica municipios'!$A$4,"indicador","Plazas","categoría","Hoteleros","municipio","SANTA CRUZ","año",2010)</f>
        <v>16971</v>
      </c>
      <c r="F26" s="441">
        <f>E26/E25</f>
        <v>8.7629345064749981E-2</v>
      </c>
      <c r="G26" s="446">
        <f>(E26-C26)/C26</f>
        <v>-0.92432309503424659</v>
      </c>
    </row>
    <row r="27" spans="2:12">
      <c r="B27" s="111" t="s">
        <v>236</v>
      </c>
      <c r="C27" s="443" t="s">
        <v>216</v>
      </c>
      <c r="D27" s="444" t="str">
        <f>IFERROR(C27/C25,"-")</f>
        <v>-</v>
      </c>
      <c r="E27" s="443" t="s">
        <v>216</v>
      </c>
      <c r="F27" s="444" t="str">
        <f>IFERROR(E27/E25,"-")</f>
        <v>-</v>
      </c>
      <c r="G27" s="446" t="str">
        <f>IFERROR((E27-C27)/C27,"-")</f>
        <v>-</v>
      </c>
    </row>
    <row r="28" spans="2:12" ht="15.75" customHeight="1">
      <c r="B28" s="114" t="s">
        <v>32</v>
      </c>
      <c r="C28" s="115"/>
      <c r="D28" s="115"/>
      <c r="E28" s="115"/>
      <c r="F28" s="115"/>
      <c r="G28" s="116"/>
    </row>
    <row r="29" spans="2:12" ht="15" customHeight="1" thickBot="1"/>
    <row r="30" spans="2:12" ht="30" customHeight="1" thickBot="1">
      <c r="B30" s="46"/>
      <c r="C30" s="46"/>
      <c r="D30" s="46"/>
      <c r="E30" s="46"/>
      <c r="F30" s="46"/>
      <c r="G30" s="60" t="s">
        <v>49</v>
      </c>
      <c r="H30" s="46"/>
      <c r="I30" s="46"/>
      <c r="J30" s="46"/>
      <c r="K30" s="46"/>
      <c r="L30" s="46"/>
    </row>
  </sheetData>
  <mergeCells count="2">
    <mergeCell ref="B6:G6"/>
    <mergeCell ref="B28:G28"/>
  </mergeCells>
  <hyperlinks>
    <hyperlink ref="G30" location="'Gráfica pernoct munic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78.xml><?xml version="1.0" encoding="utf-8"?>
<worksheet xmlns="http://schemas.openxmlformats.org/spreadsheetml/2006/main" xmlns:r="http://schemas.openxmlformats.org/officeDocument/2006/relationships">
  <sheetPr codeName="Hoja16">
    <tabColor rgb="FF000099"/>
    <pageSetUpPr autoPageBreaks="0" fitToPage="1"/>
  </sheetPr>
  <dimension ref="B27:L31"/>
  <sheetViews>
    <sheetView showGridLines="0" showRowColHeaders="0" showOutlineSymbols="0" zoomScaleNormal="100" workbookViewId="0">
      <selection activeCell="B25" sqref="B25"/>
    </sheetView>
  </sheetViews>
  <sheetFormatPr baseColWidth="10" defaultRowHeight="12.75"/>
  <cols>
    <col min="1" max="1" width="18.5703125" style="23" customWidth="1"/>
    <col min="2" max="8" width="11.42578125" style="23"/>
    <col min="9" max="9" width="12.85546875" style="23" customWidth="1"/>
    <col min="10" max="33" width="11.42578125" style="23"/>
    <col min="34" max="34" width="13.85546875" style="23" customWidth="1"/>
    <col min="35" max="264" width="11.42578125" style="23"/>
    <col min="265" max="265" width="12.85546875" style="23" customWidth="1"/>
    <col min="266" max="289" width="11.42578125" style="23"/>
    <col min="290" max="290" width="13.85546875" style="23" customWidth="1"/>
    <col min="291" max="520" width="11.42578125" style="23"/>
    <col min="521" max="521" width="12.85546875" style="23" customWidth="1"/>
    <col min="522" max="545" width="11.42578125" style="23"/>
    <col min="546" max="546" width="13.85546875" style="23" customWidth="1"/>
    <col min="547" max="776" width="11.42578125" style="23"/>
    <col min="777" max="777" width="12.85546875" style="23" customWidth="1"/>
    <col min="778" max="801" width="11.42578125" style="23"/>
    <col min="802" max="802" width="13.85546875" style="23" customWidth="1"/>
    <col min="803" max="1032" width="11.42578125" style="23"/>
    <col min="1033" max="1033" width="12.85546875" style="23" customWidth="1"/>
    <col min="1034" max="1057" width="11.42578125" style="23"/>
    <col min="1058" max="1058" width="13.85546875" style="23" customWidth="1"/>
    <col min="1059" max="1288" width="11.42578125" style="23"/>
    <col min="1289" max="1289" width="12.85546875" style="23" customWidth="1"/>
    <col min="1290" max="1313" width="11.42578125" style="23"/>
    <col min="1314" max="1314" width="13.85546875" style="23" customWidth="1"/>
    <col min="1315" max="1544" width="11.42578125" style="23"/>
    <col min="1545" max="1545" width="12.85546875" style="23" customWidth="1"/>
    <col min="1546" max="1569" width="11.42578125" style="23"/>
    <col min="1570" max="1570" width="13.85546875" style="23" customWidth="1"/>
    <col min="1571" max="1800" width="11.42578125" style="23"/>
    <col min="1801" max="1801" width="12.85546875" style="23" customWidth="1"/>
    <col min="1802" max="1825" width="11.42578125" style="23"/>
    <col min="1826" max="1826" width="13.85546875" style="23" customWidth="1"/>
    <col min="1827" max="2056" width="11.42578125" style="23"/>
    <col min="2057" max="2057" width="12.85546875" style="23" customWidth="1"/>
    <col min="2058" max="2081" width="11.42578125" style="23"/>
    <col min="2082" max="2082" width="13.85546875" style="23" customWidth="1"/>
    <col min="2083" max="2312" width="11.42578125" style="23"/>
    <col min="2313" max="2313" width="12.85546875" style="23" customWidth="1"/>
    <col min="2314" max="2337" width="11.42578125" style="23"/>
    <col min="2338" max="2338" width="13.85546875" style="23" customWidth="1"/>
    <col min="2339" max="2568" width="11.42578125" style="23"/>
    <col min="2569" max="2569" width="12.85546875" style="23" customWidth="1"/>
    <col min="2570" max="2593" width="11.42578125" style="23"/>
    <col min="2594" max="2594" width="13.85546875" style="23" customWidth="1"/>
    <col min="2595" max="2824" width="11.42578125" style="23"/>
    <col min="2825" max="2825" width="12.85546875" style="23" customWidth="1"/>
    <col min="2826" max="2849" width="11.42578125" style="23"/>
    <col min="2850" max="2850" width="13.85546875" style="23" customWidth="1"/>
    <col min="2851" max="3080" width="11.42578125" style="23"/>
    <col min="3081" max="3081" width="12.85546875" style="23" customWidth="1"/>
    <col min="3082" max="3105" width="11.42578125" style="23"/>
    <col min="3106" max="3106" width="13.85546875" style="23" customWidth="1"/>
    <col min="3107" max="3336" width="11.42578125" style="23"/>
    <col min="3337" max="3337" width="12.85546875" style="23" customWidth="1"/>
    <col min="3338" max="3361" width="11.42578125" style="23"/>
    <col min="3362" max="3362" width="13.85546875" style="23" customWidth="1"/>
    <col min="3363" max="3592" width="11.42578125" style="23"/>
    <col min="3593" max="3593" width="12.85546875" style="23" customWidth="1"/>
    <col min="3594" max="3617" width="11.42578125" style="23"/>
    <col min="3618" max="3618" width="13.85546875" style="23" customWidth="1"/>
    <col min="3619" max="3848" width="11.42578125" style="23"/>
    <col min="3849" max="3849" width="12.85546875" style="23" customWidth="1"/>
    <col min="3850" max="3873" width="11.42578125" style="23"/>
    <col min="3874" max="3874" width="13.85546875" style="23" customWidth="1"/>
    <col min="3875" max="4104" width="11.42578125" style="23"/>
    <col min="4105" max="4105" width="12.85546875" style="23" customWidth="1"/>
    <col min="4106" max="4129" width="11.42578125" style="23"/>
    <col min="4130" max="4130" width="13.85546875" style="23" customWidth="1"/>
    <col min="4131" max="4360" width="11.42578125" style="23"/>
    <col min="4361" max="4361" width="12.85546875" style="23" customWidth="1"/>
    <col min="4362" max="4385" width="11.42578125" style="23"/>
    <col min="4386" max="4386" width="13.85546875" style="23" customWidth="1"/>
    <col min="4387" max="4616" width="11.42578125" style="23"/>
    <col min="4617" max="4617" width="12.85546875" style="23" customWidth="1"/>
    <col min="4618" max="4641" width="11.42578125" style="23"/>
    <col min="4642" max="4642" width="13.85546875" style="23" customWidth="1"/>
    <col min="4643" max="4872" width="11.42578125" style="23"/>
    <col min="4873" max="4873" width="12.85546875" style="23" customWidth="1"/>
    <col min="4874" max="4897" width="11.42578125" style="23"/>
    <col min="4898" max="4898" width="13.85546875" style="23" customWidth="1"/>
    <col min="4899" max="5128" width="11.42578125" style="23"/>
    <col min="5129" max="5129" width="12.85546875" style="23" customWidth="1"/>
    <col min="5130" max="5153" width="11.42578125" style="23"/>
    <col min="5154" max="5154" width="13.85546875" style="23" customWidth="1"/>
    <col min="5155" max="5384" width="11.42578125" style="23"/>
    <col min="5385" max="5385" width="12.85546875" style="23" customWidth="1"/>
    <col min="5386" max="5409" width="11.42578125" style="23"/>
    <col min="5410" max="5410" width="13.85546875" style="23" customWidth="1"/>
    <col min="5411" max="5640" width="11.42578125" style="23"/>
    <col min="5641" max="5641" width="12.85546875" style="23" customWidth="1"/>
    <col min="5642" max="5665" width="11.42578125" style="23"/>
    <col min="5666" max="5666" width="13.85546875" style="23" customWidth="1"/>
    <col min="5667" max="5896" width="11.42578125" style="23"/>
    <col min="5897" max="5897" width="12.85546875" style="23" customWidth="1"/>
    <col min="5898" max="5921" width="11.42578125" style="23"/>
    <col min="5922" max="5922" width="13.85546875" style="23" customWidth="1"/>
    <col min="5923" max="6152" width="11.42578125" style="23"/>
    <col min="6153" max="6153" width="12.85546875" style="23" customWidth="1"/>
    <col min="6154" max="6177" width="11.42578125" style="23"/>
    <col min="6178" max="6178" width="13.85546875" style="23" customWidth="1"/>
    <col min="6179" max="6408" width="11.42578125" style="23"/>
    <col min="6409" max="6409" width="12.85546875" style="23" customWidth="1"/>
    <col min="6410" max="6433" width="11.42578125" style="23"/>
    <col min="6434" max="6434" width="13.85546875" style="23" customWidth="1"/>
    <col min="6435" max="6664" width="11.42578125" style="23"/>
    <col min="6665" max="6665" width="12.85546875" style="23" customWidth="1"/>
    <col min="6666" max="6689" width="11.42578125" style="23"/>
    <col min="6690" max="6690" width="13.85546875" style="23" customWidth="1"/>
    <col min="6691" max="6920" width="11.42578125" style="23"/>
    <col min="6921" max="6921" width="12.85546875" style="23" customWidth="1"/>
    <col min="6922" max="6945" width="11.42578125" style="23"/>
    <col min="6946" max="6946" width="13.85546875" style="23" customWidth="1"/>
    <col min="6947" max="7176" width="11.42578125" style="23"/>
    <col min="7177" max="7177" width="12.85546875" style="23" customWidth="1"/>
    <col min="7178" max="7201" width="11.42578125" style="23"/>
    <col min="7202" max="7202" width="13.85546875" style="23" customWidth="1"/>
    <col min="7203" max="7432" width="11.42578125" style="23"/>
    <col min="7433" max="7433" width="12.85546875" style="23" customWidth="1"/>
    <col min="7434" max="7457" width="11.42578125" style="23"/>
    <col min="7458" max="7458" width="13.85546875" style="23" customWidth="1"/>
    <col min="7459" max="7688" width="11.42578125" style="23"/>
    <col min="7689" max="7689" width="12.85546875" style="23" customWidth="1"/>
    <col min="7690" max="7713" width="11.42578125" style="23"/>
    <col min="7714" max="7714" width="13.85546875" style="23" customWidth="1"/>
    <col min="7715" max="7944" width="11.42578125" style="23"/>
    <col min="7945" max="7945" width="12.85546875" style="23" customWidth="1"/>
    <col min="7946" max="7969" width="11.42578125" style="23"/>
    <col min="7970" max="7970" width="13.85546875" style="23" customWidth="1"/>
    <col min="7971" max="8200" width="11.42578125" style="23"/>
    <col min="8201" max="8201" width="12.85546875" style="23" customWidth="1"/>
    <col min="8202" max="8225" width="11.42578125" style="23"/>
    <col min="8226" max="8226" width="13.85546875" style="23" customWidth="1"/>
    <col min="8227" max="8456" width="11.42578125" style="23"/>
    <col min="8457" max="8457" width="12.85546875" style="23" customWidth="1"/>
    <col min="8458" max="8481" width="11.42578125" style="23"/>
    <col min="8482" max="8482" width="13.85546875" style="23" customWidth="1"/>
    <col min="8483" max="8712" width="11.42578125" style="23"/>
    <col min="8713" max="8713" width="12.85546875" style="23" customWidth="1"/>
    <col min="8714" max="8737" width="11.42578125" style="23"/>
    <col min="8738" max="8738" width="13.85546875" style="23" customWidth="1"/>
    <col min="8739" max="8968" width="11.42578125" style="23"/>
    <col min="8969" max="8969" width="12.85546875" style="23" customWidth="1"/>
    <col min="8970" max="8993" width="11.42578125" style="23"/>
    <col min="8994" max="8994" width="13.85546875" style="23" customWidth="1"/>
    <col min="8995" max="9224" width="11.42578125" style="23"/>
    <col min="9225" max="9225" width="12.85546875" style="23" customWidth="1"/>
    <col min="9226" max="9249" width="11.42578125" style="23"/>
    <col min="9250" max="9250" width="13.85546875" style="23" customWidth="1"/>
    <col min="9251" max="9480" width="11.42578125" style="23"/>
    <col min="9481" max="9481" width="12.85546875" style="23" customWidth="1"/>
    <col min="9482" max="9505" width="11.42578125" style="23"/>
    <col min="9506" max="9506" width="13.85546875" style="23" customWidth="1"/>
    <col min="9507" max="9736" width="11.42578125" style="23"/>
    <col min="9737" max="9737" width="12.85546875" style="23" customWidth="1"/>
    <col min="9738" max="9761" width="11.42578125" style="23"/>
    <col min="9762" max="9762" width="13.85546875" style="23" customWidth="1"/>
    <col min="9763" max="9992" width="11.42578125" style="23"/>
    <col min="9993" max="9993" width="12.85546875" style="23" customWidth="1"/>
    <col min="9994" max="10017" width="11.42578125" style="23"/>
    <col min="10018" max="10018" width="13.85546875" style="23" customWidth="1"/>
    <col min="10019" max="10248" width="11.42578125" style="23"/>
    <col min="10249" max="10249" width="12.85546875" style="23" customWidth="1"/>
    <col min="10250" max="10273" width="11.42578125" style="23"/>
    <col min="10274" max="10274" width="13.85546875" style="23" customWidth="1"/>
    <col min="10275" max="10504" width="11.42578125" style="23"/>
    <col min="10505" max="10505" width="12.85546875" style="23" customWidth="1"/>
    <col min="10506" max="10529" width="11.42578125" style="23"/>
    <col min="10530" max="10530" width="13.85546875" style="23" customWidth="1"/>
    <col min="10531" max="10760" width="11.42578125" style="23"/>
    <col min="10761" max="10761" width="12.85546875" style="23" customWidth="1"/>
    <col min="10762" max="10785" width="11.42578125" style="23"/>
    <col min="10786" max="10786" width="13.85546875" style="23" customWidth="1"/>
    <col min="10787" max="11016" width="11.42578125" style="23"/>
    <col min="11017" max="11017" width="12.85546875" style="23" customWidth="1"/>
    <col min="11018" max="11041" width="11.42578125" style="23"/>
    <col min="11042" max="11042" width="13.85546875" style="23" customWidth="1"/>
    <col min="11043" max="11272" width="11.42578125" style="23"/>
    <col min="11273" max="11273" width="12.85546875" style="23" customWidth="1"/>
    <col min="11274" max="11297" width="11.42578125" style="23"/>
    <col min="11298" max="11298" width="13.85546875" style="23" customWidth="1"/>
    <col min="11299" max="11528" width="11.42578125" style="23"/>
    <col min="11529" max="11529" width="12.85546875" style="23" customWidth="1"/>
    <col min="11530" max="11553" width="11.42578125" style="23"/>
    <col min="11554" max="11554" width="13.85546875" style="23" customWidth="1"/>
    <col min="11555" max="11784" width="11.42578125" style="23"/>
    <col min="11785" max="11785" width="12.85546875" style="23" customWidth="1"/>
    <col min="11786" max="11809" width="11.42578125" style="23"/>
    <col min="11810" max="11810" width="13.85546875" style="23" customWidth="1"/>
    <col min="11811" max="12040" width="11.42578125" style="23"/>
    <col min="12041" max="12041" width="12.85546875" style="23" customWidth="1"/>
    <col min="12042" max="12065" width="11.42578125" style="23"/>
    <col min="12066" max="12066" width="13.85546875" style="23" customWidth="1"/>
    <col min="12067" max="12296" width="11.42578125" style="23"/>
    <col min="12297" max="12297" width="12.85546875" style="23" customWidth="1"/>
    <col min="12298" max="12321" width="11.42578125" style="23"/>
    <col min="12322" max="12322" width="13.85546875" style="23" customWidth="1"/>
    <col min="12323" max="12552" width="11.42578125" style="23"/>
    <col min="12553" max="12553" width="12.85546875" style="23" customWidth="1"/>
    <col min="12554" max="12577" width="11.42578125" style="23"/>
    <col min="12578" max="12578" width="13.85546875" style="23" customWidth="1"/>
    <col min="12579" max="12808" width="11.42578125" style="23"/>
    <col min="12809" max="12809" width="12.85546875" style="23" customWidth="1"/>
    <col min="12810" max="12833" width="11.42578125" style="23"/>
    <col min="12834" max="12834" width="13.85546875" style="23" customWidth="1"/>
    <col min="12835" max="13064" width="11.42578125" style="23"/>
    <col min="13065" max="13065" width="12.85546875" style="23" customWidth="1"/>
    <col min="13066" max="13089" width="11.42578125" style="23"/>
    <col min="13090" max="13090" width="13.85546875" style="23" customWidth="1"/>
    <col min="13091" max="13320" width="11.42578125" style="23"/>
    <col min="13321" max="13321" width="12.85546875" style="23" customWidth="1"/>
    <col min="13322" max="13345" width="11.42578125" style="23"/>
    <col min="13346" max="13346" width="13.85546875" style="23" customWidth="1"/>
    <col min="13347" max="13576" width="11.42578125" style="23"/>
    <col min="13577" max="13577" width="12.85546875" style="23" customWidth="1"/>
    <col min="13578" max="13601" width="11.42578125" style="23"/>
    <col min="13602" max="13602" width="13.85546875" style="23" customWidth="1"/>
    <col min="13603" max="13832" width="11.42578125" style="23"/>
    <col min="13833" max="13833" width="12.85546875" style="23" customWidth="1"/>
    <col min="13834" max="13857" width="11.42578125" style="23"/>
    <col min="13858" max="13858" width="13.85546875" style="23" customWidth="1"/>
    <col min="13859" max="14088" width="11.42578125" style="23"/>
    <col min="14089" max="14089" width="12.85546875" style="23" customWidth="1"/>
    <col min="14090" max="14113" width="11.42578125" style="23"/>
    <col min="14114" max="14114" width="13.85546875" style="23" customWidth="1"/>
    <col min="14115" max="14344" width="11.42578125" style="23"/>
    <col min="14345" max="14345" width="12.85546875" style="23" customWidth="1"/>
    <col min="14346" max="14369" width="11.42578125" style="23"/>
    <col min="14370" max="14370" width="13.85546875" style="23" customWidth="1"/>
    <col min="14371" max="14600" width="11.42578125" style="23"/>
    <col min="14601" max="14601" width="12.85546875" style="23" customWidth="1"/>
    <col min="14602" max="14625" width="11.42578125" style="23"/>
    <col min="14626" max="14626" width="13.85546875" style="23" customWidth="1"/>
    <col min="14627" max="14856" width="11.42578125" style="23"/>
    <col min="14857" max="14857" width="12.85546875" style="23" customWidth="1"/>
    <col min="14858" max="14881" width="11.42578125" style="23"/>
    <col min="14882" max="14882" width="13.85546875" style="23" customWidth="1"/>
    <col min="14883" max="15112" width="11.42578125" style="23"/>
    <col min="15113" max="15113" width="12.85546875" style="23" customWidth="1"/>
    <col min="15114" max="15137" width="11.42578125" style="23"/>
    <col min="15138" max="15138" width="13.85546875" style="23" customWidth="1"/>
    <col min="15139" max="15368" width="11.42578125" style="23"/>
    <col min="15369" max="15369" width="12.85546875" style="23" customWidth="1"/>
    <col min="15370" max="15393" width="11.42578125" style="23"/>
    <col min="15394" max="15394" width="13.85546875" style="23" customWidth="1"/>
    <col min="15395" max="15624" width="11.42578125" style="23"/>
    <col min="15625" max="15625" width="12.85546875" style="23" customWidth="1"/>
    <col min="15626" max="15649" width="11.42578125" style="23"/>
    <col min="15650" max="15650" width="13.85546875" style="23" customWidth="1"/>
    <col min="15651" max="15880" width="11.42578125" style="23"/>
    <col min="15881" max="15881" width="12.85546875" style="23" customWidth="1"/>
    <col min="15882" max="15905" width="11.42578125" style="23"/>
    <col min="15906" max="15906" width="13.85546875" style="23" customWidth="1"/>
    <col min="15907" max="16136" width="11.42578125" style="23"/>
    <col min="16137" max="16137" width="12.85546875" style="23" customWidth="1"/>
    <col min="16138" max="16161" width="11.42578125" style="23"/>
    <col min="16162" max="16162" width="13.85546875" style="23" customWidth="1"/>
    <col min="16163" max="16384" width="11.42578125" style="23"/>
  </cols>
  <sheetData>
    <row r="27" spans="2:12" ht="12.75" customHeight="1"/>
    <row r="28" spans="2:12"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</row>
    <row r="29" spans="2:12" ht="24.95" customHeight="1">
      <c r="B29" s="46"/>
      <c r="C29" s="46"/>
      <c r="D29" s="46"/>
      <c r="E29" s="46"/>
      <c r="F29" s="46"/>
      <c r="G29" s="46"/>
      <c r="H29" s="46"/>
      <c r="I29" s="46"/>
      <c r="J29" s="46"/>
      <c r="K29" s="46"/>
    </row>
    <row r="30" spans="2:12" ht="15" customHeight="1" thickBot="1"/>
    <row r="31" spans="2:12" ht="30" customHeight="1" thickBot="1">
      <c r="I31" s="60" t="s">
        <v>51</v>
      </c>
    </row>
  </sheetData>
  <hyperlinks>
    <hyperlink ref="I31" location="'Pernoctaciones munic y tipologí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colBreaks count="1" manualBreakCount="1">
    <brk id="26" max="41" man="1"/>
  </colBreaks>
  <drawing r:id="rId2"/>
  <legacyDrawingHF r:id="rId3"/>
</worksheet>
</file>

<file path=xl/worksheets/sheet79.xml><?xml version="1.0" encoding="utf-8"?>
<worksheet xmlns="http://schemas.openxmlformats.org/spreadsheetml/2006/main" xmlns:r="http://schemas.openxmlformats.org/officeDocument/2006/relationships">
  <sheetPr codeName="Hoja26">
    <tabColor rgb="FF000099"/>
    <pageSetUpPr autoPageBreaks="0" fitToPage="1"/>
  </sheetPr>
  <dimension ref="B1:P33"/>
  <sheetViews>
    <sheetView showGridLines="0" showRowColHeaders="0" showOutlineSymbols="0" zoomScaleNormal="100" workbookViewId="0">
      <selection activeCell="B25" sqref="B25"/>
    </sheetView>
  </sheetViews>
  <sheetFormatPr baseColWidth="10" defaultRowHeight="12.75"/>
  <cols>
    <col min="1" max="1" width="11.42578125" style="23"/>
    <col min="2" max="2" width="28.85546875" style="23" customWidth="1"/>
    <col min="3" max="3" width="12.7109375" style="23" customWidth="1"/>
    <col min="4" max="4" width="10.7109375" style="23" customWidth="1"/>
    <col min="5" max="5" width="12.7109375" style="23" customWidth="1"/>
    <col min="6" max="7" width="10.7109375" style="23" customWidth="1"/>
    <col min="8" max="8" width="11.42578125" style="23"/>
    <col min="9" max="9" width="28.7109375" style="23" customWidth="1"/>
    <col min="10" max="14" width="11.42578125" style="23"/>
    <col min="15" max="15" width="13.28515625" style="23" customWidth="1"/>
    <col min="16" max="257" width="11.42578125" style="23"/>
    <col min="258" max="258" width="36.7109375" style="23" customWidth="1"/>
    <col min="259" max="259" width="12.7109375" style="23" customWidth="1"/>
    <col min="260" max="260" width="10.7109375" style="23" customWidth="1"/>
    <col min="261" max="261" width="12.7109375" style="23" customWidth="1"/>
    <col min="262" max="263" width="10.7109375" style="23" customWidth="1"/>
    <col min="264" max="270" width="11.42578125" style="23"/>
    <col min="271" max="271" width="13.28515625" style="23" customWidth="1"/>
    <col min="272" max="513" width="11.42578125" style="23"/>
    <col min="514" max="514" width="36.7109375" style="23" customWidth="1"/>
    <col min="515" max="515" width="12.7109375" style="23" customWidth="1"/>
    <col min="516" max="516" width="10.7109375" style="23" customWidth="1"/>
    <col min="517" max="517" width="12.7109375" style="23" customWidth="1"/>
    <col min="518" max="519" width="10.7109375" style="23" customWidth="1"/>
    <col min="520" max="526" width="11.42578125" style="23"/>
    <col min="527" max="527" width="13.28515625" style="23" customWidth="1"/>
    <col min="528" max="769" width="11.42578125" style="23"/>
    <col min="770" max="770" width="36.7109375" style="23" customWidth="1"/>
    <col min="771" max="771" width="12.7109375" style="23" customWidth="1"/>
    <col min="772" max="772" width="10.7109375" style="23" customWidth="1"/>
    <col min="773" max="773" width="12.7109375" style="23" customWidth="1"/>
    <col min="774" max="775" width="10.7109375" style="23" customWidth="1"/>
    <col min="776" max="782" width="11.42578125" style="23"/>
    <col min="783" max="783" width="13.28515625" style="23" customWidth="1"/>
    <col min="784" max="1025" width="11.42578125" style="23"/>
    <col min="1026" max="1026" width="36.7109375" style="23" customWidth="1"/>
    <col min="1027" max="1027" width="12.7109375" style="23" customWidth="1"/>
    <col min="1028" max="1028" width="10.7109375" style="23" customWidth="1"/>
    <col min="1029" max="1029" width="12.7109375" style="23" customWidth="1"/>
    <col min="1030" max="1031" width="10.7109375" style="23" customWidth="1"/>
    <col min="1032" max="1038" width="11.42578125" style="23"/>
    <col min="1039" max="1039" width="13.28515625" style="23" customWidth="1"/>
    <col min="1040" max="1281" width="11.42578125" style="23"/>
    <col min="1282" max="1282" width="36.7109375" style="23" customWidth="1"/>
    <col min="1283" max="1283" width="12.7109375" style="23" customWidth="1"/>
    <col min="1284" max="1284" width="10.7109375" style="23" customWidth="1"/>
    <col min="1285" max="1285" width="12.7109375" style="23" customWidth="1"/>
    <col min="1286" max="1287" width="10.7109375" style="23" customWidth="1"/>
    <col min="1288" max="1294" width="11.42578125" style="23"/>
    <col min="1295" max="1295" width="13.28515625" style="23" customWidth="1"/>
    <col min="1296" max="1537" width="11.42578125" style="23"/>
    <col min="1538" max="1538" width="36.7109375" style="23" customWidth="1"/>
    <col min="1539" max="1539" width="12.7109375" style="23" customWidth="1"/>
    <col min="1540" max="1540" width="10.7109375" style="23" customWidth="1"/>
    <col min="1541" max="1541" width="12.7109375" style="23" customWidth="1"/>
    <col min="1542" max="1543" width="10.7109375" style="23" customWidth="1"/>
    <col min="1544" max="1550" width="11.42578125" style="23"/>
    <col min="1551" max="1551" width="13.28515625" style="23" customWidth="1"/>
    <col min="1552" max="1793" width="11.42578125" style="23"/>
    <col min="1794" max="1794" width="36.7109375" style="23" customWidth="1"/>
    <col min="1795" max="1795" width="12.7109375" style="23" customWidth="1"/>
    <col min="1796" max="1796" width="10.7109375" style="23" customWidth="1"/>
    <col min="1797" max="1797" width="12.7109375" style="23" customWidth="1"/>
    <col min="1798" max="1799" width="10.7109375" style="23" customWidth="1"/>
    <col min="1800" max="1806" width="11.42578125" style="23"/>
    <col min="1807" max="1807" width="13.28515625" style="23" customWidth="1"/>
    <col min="1808" max="2049" width="11.42578125" style="23"/>
    <col min="2050" max="2050" width="36.7109375" style="23" customWidth="1"/>
    <col min="2051" max="2051" width="12.7109375" style="23" customWidth="1"/>
    <col min="2052" max="2052" width="10.7109375" style="23" customWidth="1"/>
    <col min="2053" max="2053" width="12.7109375" style="23" customWidth="1"/>
    <col min="2054" max="2055" width="10.7109375" style="23" customWidth="1"/>
    <col min="2056" max="2062" width="11.42578125" style="23"/>
    <col min="2063" max="2063" width="13.28515625" style="23" customWidth="1"/>
    <col min="2064" max="2305" width="11.42578125" style="23"/>
    <col min="2306" max="2306" width="36.7109375" style="23" customWidth="1"/>
    <col min="2307" max="2307" width="12.7109375" style="23" customWidth="1"/>
    <col min="2308" max="2308" width="10.7109375" style="23" customWidth="1"/>
    <col min="2309" max="2309" width="12.7109375" style="23" customWidth="1"/>
    <col min="2310" max="2311" width="10.7109375" style="23" customWidth="1"/>
    <col min="2312" max="2318" width="11.42578125" style="23"/>
    <col min="2319" max="2319" width="13.28515625" style="23" customWidth="1"/>
    <col min="2320" max="2561" width="11.42578125" style="23"/>
    <col min="2562" max="2562" width="36.7109375" style="23" customWidth="1"/>
    <col min="2563" max="2563" width="12.7109375" style="23" customWidth="1"/>
    <col min="2564" max="2564" width="10.7109375" style="23" customWidth="1"/>
    <col min="2565" max="2565" width="12.7109375" style="23" customWidth="1"/>
    <col min="2566" max="2567" width="10.7109375" style="23" customWidth="1"/>
    <col min="2568" max="2574" width="11.42578125" style="23"/>
    <col min="2575" max="2575" width="13.28515625" style="23" customWidth="1"/>
    <col min="2576" max="2817" width="11.42578125" style="23"/>
    <col min="2818" max="2818" width="36.7109375" style="23" customWidth="1"/>
    <col min="2819" max="2819" width="12.7109375" style="23" customWidth="1"/>
    <col min="2820" max="2820" width="10.7109375" style="23" customWidth="1"/>
    <col min="2821" max="2821" width="12.7109375" style="23" customWidth="1"/>
    <col min="2822" max="2823" width="10.7109375" style="23" customWidth="1"/>
    <col min="2824" max="2830" width="11.42578125" style="23"/>
    <col min="2831" max="2831" width="13.28515625" style="23" customWidth="1"/>
    <col min="2832" max="3073" width="11.42578125" style="23"/>
    <col min="3074" max="3074" width="36.7109375" style="23" customWidth="1"/>
    <col min="3075" max="3075" width="12.7109375" style="23" customWidth="1"/>
    <col min="3076" max="3076" width="10.7109375" style="23" customWidth="1"/>
    <col min="3077" max="3077" width="12.7109375" style="23" customWidth="1"/>
    <col min="3078" max="3079" width="10.7109375" style="23" customWidth="1"/>
    <col min="3080" max="3086" width="11.42578125" style="23"/>
    <col min="3087" max="3087" width="13.28515625" style="23" customWidth="1"/>
    <col min="3088" max="3329" width="11.42578125" style="23"/>
    <col min="3330" max="3330" width="36.7109375" style="23" customWidth="1"/>
    <col min="3331" max="3331" width="12.7109375" style="23" customWidth="1"/>
    <col min="3332" max="3332" width="10.7109375" style="23" customWidth="1"/>
    <col min="3333" max="3333" width="12.7109375" style="23" customWidth="1"/>
    <col min="3334" max="3335" width="10.7109375" style="23" customWidth="1"/>
    <col min="3336" max="3342" width="11.42578125" style="23"/>
    <col min="3343" max="3343" width="13.28515625" style="23" customWidth="1"/>
    <col min="3344" max="3585" width="11.42578125" style="23"/>
    <col min="3586" max="3586" width="36.7109375" style="23" customWidth="1"/>
    <col min="3587" max="3587" width="12.7109375" style="23" customWidth="1"/>
    <col min="3588" max="3588" width="10.7109375" style="23" customWidth="1"/>
    <col min="3589" max="3589" width="12.7109375" style="23" customWidth="1"/>
    <col min="3590" max="3591" width="10.7109375" style="23" customWidth="1"/>
    <col min="3592" max="3598" width="11.42578125" style="23"/>
    <col min="3599" max="3599" width="13.28515625" style="23" customWidth="1"/>
    <col min="3600" max="3841" width="11.42578125" style="23"/>
    <col min="3842" max="3842" width="36.7109375" style="23" customWidth="1"/>
    <col min="3843" max="3843" width="12.7109375" style="23" customWidth="1"/>
    <col min="3844" max="3844" width="10.7109375" style="23" customWidth="1"/>
    <col min="3845" max="3845" width="12.7109375" style="23" customWidth="1"/>
    <col min="3846" max="3847" width="10.7109375" style="23" customWidth="1"/>
    <col min="3848" max="3854" width="11.42578125" style="23"/>
    <col min="3855" max="3855" width="13.28515625" style="23" customWidth="1"/>
    <col min="3856" max="4097" width="11.42578125" style="23"/>
    <col min="4098" max="4098" width="36.7109375" style="23" customWidth="1"/>
    <col min="4099" max="4099" width="12.7109375" style="23" customWidth="1"/>
    <col min="4100" max="4100" width="10.7109375" style="23" customWidth="1"/>
    <col min="4101" max="4101" width="12.7109375" style="23" customWidth="1"/>
    <col min="4102" max="4103" width="10.7109375" style="23" customWidth="1"/>
    <col min="4104" max="4110" width="11.42578125" style="23"/>
    <col min="4111" max="4111" width="13.28515625" style="23" customWidth="1"/>
    <col min="4112" max="4353" width="11.42578125" style="23"/>
    <col min="4354" max="4354" width="36.7109375" style="23" customWidth="1"/>
    <col min="4355" max="4355" width="12.7109375" style="23" customWidth="1"/>
    <col min="4356" max="4356" width="10.7109375" style="23" customWidth="1"/>
    <col min="4357" max="4357" width="12.7109375" style="23" customWidth="1"/>
    <col min="4358" max="4359" width="10.7109375" style="23" customWidth="1"/>
    <col min="4360" max="4366" width="11.42578125" style="23"/>
    <col min="4367" max="4367" width="13.28515625" style="23" customWidth="1"/>
    <col min="4368" max="4609" width="11.42578125" style="23"/>
    <col min="4610" max="4610" width="36.7109375" style="23" customWidth="1"/>
    <col min="4611" max="4611" width="12.7109375" style="23" customWidth="1"/>
    <col min="4612" max="4612" width="10.7109375" style="23" customWidth="1"/>
    <col min="4613" max="4613" width="12.7109375" style="23" customWidth="1"/>
    <col min="4614" max="4615" width="10.7109375" style="23" customWidth="1"/>
    <col min="4616" max="4622" width="11.42578125" style="23"/>
    <col min="4623" max="4623" width="13.28515625" style="23" customWidth="1"/>
    <col min="4624" max="4865" width="11.42578125" style="23"/>
    <col min="4866" max="4866" width="36.7109375" style="23" customWidth="1"/>
    <col min="4867" max="4867" width="12.7109375" style="23" customWidth="1"/>
    <col min="4868" max="4868" width="10.7109375" style="23" customWidth="1"/>
    <col min="4869" max="4869" width="12.7109375" style="23" customWidth="1"/>
    <col min="4870" max="4871" width="10.7109375" style="23" customWidth="1"/>
    <col min="4872" max="4878" width="11.42578125" style="23"/>
    <col min="4879" max="4879" width="13.28515625" style="23" customWidth="1"/>
    <col min="4880" max="5121" width="11.42578125" style="23"/>
    <col min="5122" max="5122" width="36.7109375" style="23" customWidth="1"/>
    <col min="5123" max="5123" width="12.7109375" style="23" customWidth="1"/>
    <col min="5124" max="5124" width="10.7109375" style="23" customWidth="1"/>
    <col min="5125" max="5125" width="12.7109375" style="23" customWidth="1"/>
    <col min="5126" max="5127" width="10.7109375" style="23" customWidth="1"/>
    <col min="5128" max="5134" width="11.42578125" style="23"/>
    <col min="5135" max="5135" width="13.28515625" style="23" customWidth="1"/>
    <col min="5136" max="5377" width="11.42578125" style="23"/>
    <col min="5378" max="5378" width="36.7109375" style="23" customWidth="1"/>
    <col min="5379" max="5379" width="12.7109375" style="23" customWidth="1"/>
    <col min="5380" max="5380" width="10.7109375" style="23" customWidth="1"/>
    <col min="5381" max="5381" width="12.7109375" style="23" customWidth="1"/>
    <col min="5382" max="5383" width="10.7109375" style="23" customWidth="1"/>
    <col min="5384" max="5390" width="11.42578125" style="23"/>
    <col min="5391" max="5391" width="13.28515625" style="23" customWidth="1"/>
    <col min="5392" max="5633" width="11.42578125" style="23"/>
    <col min="5634" max="5634" width="36.7109375" style="23" customWidth="1"/>
    <col min="5635" max="5635" width="12.7109375" style="23" customWidth="1"/>
    <col min="5636" max="5636" width="10.7109375" style="23" customWidth="1"/>
    <col min="5637" max="5637" width="12.7109375" style="23" customWidth="1"/>
    <col min="5638" max="5639" width="10.7109375" style="23" customWidth="1"/>
    <col min="5640" max="5646" width="11.42578125" style="23"/>
    <col min="5647" max="5647" width="13.28515625" style="23" customWidth="1"/>
    <col min="5648" max="5889" width="11.42578125" style="23"/>
    <col min="5890" max="5890" width="36.7109375" style="23" customWidth="1"/>
    <col min="5891" max="5891" width="12.7109375" style="23" customWidth="1"/>
    <col min="5892" max="5892" width="10.7109375" style="23" customWidth="1"/>
    <col min="5893" max="5893" width="12.7109375" style="23" customWidth="1"/>
    <col min="5894" max="5895" width="10.7109375" style="23" customWidth="1"/>
    <col min="5896" max="5902" width="11.42578125" style="23"/>
    <col min="5903" max="5903" width="13.28515625" style="23" customWidth="1"/>
    <col min="5904" max="6145" width="11.42578125" style="23"/>
    <col min="6146" max="6146" width="36.7109375" style="23" customWidth="1"/>
    <col min="6147" max="6147" width="12.7109375" style="23" customWidth="1"/>
    <col min="6148" max="6148" width="10.7109375" style="23" customWidth="1"/>
    <col min="6149" max="6149" width="12.7109375" style="23" customWidth="1"/>
    <col min="6150" max="6151" width="10.7109375" style="23" customWidth="1"/>
    <col min="6152" max="6158" width="11.42578125" style="23"/>
    <col min="6159" max="6159" width="13.28515625" style="23" customWidth="1"/>
    <col min="6160" max="6401" width="11.42578125" style="23"/>
    <col min="6402" max="6402" width="36.7109375" style="23" customWidth="1"/>
    <col min="6403" max="6403" width="12.7109375" style="23" customWidth="1"/>
    <col min="6404" max="6404" width="10.7109375" style="23" customWidth="1"/>
    <col min="6405" max="6405" width="12.7109375" style="23" customWidth="1"/>
    <col min="6406" max="6407" width="10.7109375" style="23" customWidth="1"/>
    <col min="6408" max="6414" width="11.42578125" style="23"/>
    <col min="6415" max="6415" width="13.28515625" style="23" customWidth="1"/>
    <col min="6416" max="6657" width="11.42578125" style="23"/>
    <col min="6658" max="6658" width="36.7109375" style="23" customWidth="1"/>
    <col min="6659" max="6659" width="12.7109375" style="23" customWidth="1"/>
    <col min="6660" max="6660" width="10.7109375" style="23" customWidth="1"/>
    <col min="6661" max="6661" width="12.7109375" style="23" customWidth="1"/>
    <col min="6662" max="6663" width="10.7109375" style="23" customWidth="1"/>
    <col min="6664" max="6670" width="11.42578125" style="23"/>
    <col min="6671" max="6671" width="13.28515625" style="23" customWidth="1"/>
    <col min="6672" max="6913" width="11.42578125" style="23"/>
    <col min="6914" max="6914" width="36.7109375" style="23" customWidth="1"/>
    <col min="6915" max="6915" width="12.7109375" style="23" customWidth="1"/>
    <col min="6916" max="6916" width="10.7109375" style="23" customWidth="1"/>
    <col min="6917" max="6917" width="12.7109375" style="23" customWidth="1"/>
    <col min="6918" max="6919" width="10.7109375" style="23" customWidth="1"/>
    <col min="6920" max="6926" width="11.42578125" style="23"/>
    <col min="6927" max="6927" width="13.28515625" style="23" customWidth="1"/>
    <col min="6928" max="7169" width="11.42578125" style="23"/>
    <col min="7170" max="7170" width="36.7109375" style="23" customWidth="1"/>
    <col min="7171" max="7171" width="12.7109375" style="23" customWidth="1"/>
    <col min="7172" max="7172" width="10.7109375" style="23" customWidth="1"/>
    <col min="7173" max="7173" width="12.7109375" style="23" customWidth="1"/>
    <col min="7174" max="7175" width="10.7109375" style="23" customWidth="1"/>
    <col min="7176" max="7182" width="11.42578125" style="23"/>
    <col min="7183" max="7183" width="13.28515625" style="23" customWidth="1"/>
    <col min="7184" max="7425" width="11.42578125" style="23"/>
    <col min="7426" max="7426" width="36.7109375" style="23" customWidth="1"/>
    <col min="7427" max="7427" width="12.7109375" style="23" customWidth="1"/>
    <col min="7428" max="7428" width="10.7109375" style="23" customWidth="1"/>
    <col min="7429" max="7429" width="12.7109375" style="23" customWidth="1"/>
    <col min="7430" max="7431" width="10.7109375" style="23" customWidth="1"/>
    <col min="7432" max="7438" width="11.42578125" style="23"/>
    <col min="7439" max="7439" width="13.28515625" style="23" customWidth="1"/>
    <col min="7440" max="7681" width="11.42578125" style="23"/>
    <col min="7682" max="7682" width="36.7109375" style="23" customWidth="1"/>
    <col min="7683" max="7683" width="12.7109375" style="23" customWidth="1"/>
    <col min="7684" max="7684" width="10.7109375" style="23" customWidth="1"/>
    <col min="7685" max="7685" width="12.7109375" style="23" customWidth="1"/>
    <col min="7686" max="7687" width="10.7109375" style="23" customWidth="1"/>
    <col min="7688" max="7694" width="11.42578125" style="23"/>
    <col min="7695" max="7695" width="13.28515625" style="23" customWidth="1"/>
    <col min="7696" max="7937" width="11.42578125" style="23"/>
    <col min="7938" max="7938" width="36.7109375" style="23" customWidth="1"/>
    <col min="7939" max="7939" width="12.7109375" style="23" customWidth="1"/>
    <col min="7940" max="7940" width="10.7109375" style="23" customWidth="1"/>
    <col min="7941" max="7941" width="12.7109375" style="23" customWidth="1"/>
    <col min="7942" max="7943" width="10.7109375" style="23" customWidth="1"/>
    <col min="7944" max="7950" width="11.42578125" style="23"/>
    <col min="7951" max="7951" width="13.28515625" style="23" customWidth="1"/>
    <col min="7952" max="8193" width="11.42578125" style="23"/>
    <col min="8194" max="8194" width="36.7109375" style="23" customWidth="1"/>
    <col min="8195" max="8195" width="12.7109375" style="23" customWidth="1"/>
    <col min="8196" max="8196" width="10.7109375" style="23" customWidth="1"/>
    <col min="8197" max="8197" width="12.7109375" style="23" customWidth="1"/>
    <col min="8198" max="8199" width="10.7109375" style="23" customWidth="1"/>
    <col min="8200" max="8206" width="11.42578125" style="23"/>
    <col min="8207" max="8207" width="13.28515625" style="23" customWidth="1"/>
    <col min="8208" max="8449" width="11.42578125" style="23"/>
    <col min="8450" max="8450" width="36.7109375" style="23" customWidth="1"/>
    <col min="8451" max="8451" width="12.7109375" style="23" customWidth="1"/>
    <col min="8452" max="8452" width="10.7109375" style="23" customWidth="1"/>
    <col min="8453" max="8453" width="12.7109375" style="23" customWidth="1"/>
    <col min="8454" max="8455" width="10.7109375" style="23" customWidth="1"/>
    <col min="8456" max="8462" width="11.42578125" style="23"/>
    <col min="8463" max="8463" width="13.28515625" style="23" customWidth="1"/>
    <col min="8464" max="8705" width="11.42578125" style="23"/>
    <col min="8706" max="8706" width="36.7109375" style="23" customWidth="1"/>
    <col min="8707" max="8707" width="12.7109375" style="23" customWidth="1"/>
    <col min="8708" max="8708" width="10.7109375" style="23" customWidth="1"/>
    <col min="8709" max="8709" width="12.7109375" style="23" customWidth="1"/>
    <col min="8710" max="8711" width="10.7109375" style="23" customWidth="1"/>
    <col min="8712" max="8718" width="11.42578125" style="23"/>
    <col min="8719" max="8719" width="13.28515625" style="23" customWidth="1"/>
    <col min="8720" max="8961" width="11.42578125" style="23"/>
    <col min="8962" max="8962" width="36.7109375" style="23" customWidth="1"/>
    <col min="8963" max="8963" width="12.7109375" style="23" customWidth="1"/>
    <col min="8964" max="8964" width="10.7109375" style="23" customWidth="1"/>
    <col min="8965" max="8965" width="12.7109375" style="23" customWidth="1"/>
    <col min="8966" max="8967" width="10.7109375" style="23" customWidth="1"/>
    <col min="8968" max="8974" width="11.42578125" style="23"/>
    <col min="8975" max="8975" width="13.28515625" style="23" customWidth="1"/>
    <col min="8976" max="9217" width="11.42578125" style="23"/>
    <col min="9218" max="9218" width="36.7109375" style="23" customWidth="1"/>
    <col min="9219" max="9219" width="12.7109375" style="23" customWidth="1"/>
    <col min="9220" max="9220" width="10.7109375" style="23" customWidth="1"/>
    <col min="9221" max="9221" width="12.7109375" style="23" customWidth="1"/>
    <col min="9222" max="9223" width="10.7109375" style="23" customWidth="1"/>
    <col min="9224" max="9230" width="11.42578125" style="23"/>
    <col min="9231" max="9231" width="13.28515625" style="23" customWidth="1"/>
    <col min="9232" max="9473" width="11.42578125" style="23"/>
    <col min="9474" max="9474" width="36.7109375" style="23" customWidth="1"/>
    <col min="9475" max="9475" width="12.7109375" style="23" customWidth="1"/>
    <col min="9476" max="9476" width="10.7109375" style="23" customWidth="1"/>
    <col min="9477" max="9477" width="12.7109375" style="23" customWidth="1"/>
    <col min="9478" max="9479" width="10.7109375" style="23" customWidth="1"/>
    <col min="9480" max="9486" width="11.42578125" style="23"/>
    <col min="9487" max="9487" width="13.28515625" style="23" customWidth="1"/>
    <col min="9488" max="9729" width="11.42578125" style="23"/>
    <col min="9730" max="9730" width="36.7109375" style="23" customWidth="1"/>
    <col min="9731" max="9731" width="12.7109375" style="23" customWidth="1"/>
    <col min="9732" max="9732" width="10.7109375" style="23" customWidth="1"/>
    <col min="9733" max="9733" width="12.7109375" style="23" customWidth="1"/>
    <col min="9734" max="9735" width="10.7109375" style="23" customWidth="1"/>
    <col min="9736" max="9742" width="11.42578125" style="23"/>
    <col min="9743" max="9743" width="13.28515625" style="23" customWidth="1"/>
    <col min="9744" max="9985" width="11.42578125" style="23"/>
    <col min="9986" max="9986" width="36.7109375" style="23" customWidth="1"/>
    <col min="9987" max="9987" width="12.7109375" style="23" customWidth="1"/>
    <col min="9988" max="9988" width="10.7109375" style="23" customWidth="1"/>
    <col min="9989" max="9989" width="12.7109375" style="23" customWidth="1"/>
    <col min="9990" max="9991" width="10.7109375" style="23" customWidth="1"/>
    <col min="9992" max="9998" width="11.42578125" style="23"/>
    <col min="9999" max="9999" width="13.28515625" style="23" customWidth="1"/>
    <col min="10000" max="10241" width="11.42578125" style="23"/>
    <col min="10242" max="10242" width="36.7109375" style="23" customWidth="1"/>
    <col min="10243" max="10243" width="12.7109375" style="23" customWidth="1"/>
    <col min="10244" max="10244" width="10.7109375" style="23" customWidth="1"/>
    <col min="10245" max="10245" width="12.7109375" style="23" customWidth="1"/>
    <col min="10246" max="10247" width="10.7109375" style="23" customWidth="1"/>
    <col min="10248" max="10254" width="11.42578125" style="23"/>
    <col min="10255" max="10255" width="13.28515625" style="23" customWidth="1"/>
    <col min="10256" max="10497" width="11.42578125" style="23"/>
    <col min="10498" max="10498" width="36.7109375" style="23" customWidth="1"/>
    <col min="10499" max="10499" width="12.7109375" style="23" customWidth="1"/>
    <col min="10500" max="10500" width="10.7109375" style="23" customWidth="1"/>
    <col min="10501" max="10501" width="12.7109375" style="23" customWidth="1"/>
    <col min="10502" max="10503" width="10.7109375" style="23" customWidth="1"/>
    <col min="10504" max="10510" width="11.42578125" style="23"/>
    <col min="10511" max="10511" width="13.28515625" style="23" customWidth="1"/>
    <col min="10512" max="10753" width="11.42578125" style="23"/>
    <col min="10754" max="10754" width="36.7109375" style="23" customWidth="1"/>
    <col min="10755" max="10755" width="12.7109375" style="23" customWidth="1"/>
    <col min="10756" max="10756" width="10.7109375" style="23" customWidth="1"/>
    <col min="10757" max="10757" width="12.7109375" style="23" customWidth="1"/>
    <col min="10758" max="10759" width="10.7109375" style="23" customWidth="1"/>
    <col min="10760" max="10766" width="11.42578125" style="23"/>
    <col min="10767" max="10767" width="13.28515625" style="23" customWidth="1"/>
    <col min="10768" max="11009" width="11.42578125" style="23"/>
    <col min="11010" max="11010" width="36.7109375" style="23" customWidth="1"/>
    <col min="11011" max="11011" width="12.7109375" style="23" customWidth="1"/>
    <col min="11012" max="11012" width="10.7109375" style="23" customWidth="1"/>
    <col min="11013" max="11013" width="12.7109375" style="23" customWidth="1"/>
    <col min="11014" max="11015" width="10.7109375" style="23" customWidth="1"/>
    <col min="11016" max="11022" width="11.42578125" style="23"/>
    <col min="11023" max="11023" width="13.28515625" style="23" customWidth="1"/>
    <col min="11024" max="11265" width="11.42578125" style="23"/>
    <col min="11266" max="11266" width="36.7109375" style="23" customWidth="1"/>
    <col min="11267" max="11267" width="12.7109375" style="23" customWidth="1"/>
    <col min="11268" max="11268" width="10.7109375" style="23" customWidth="1"/>
    <col min="11269" max="11269" width="12.7109375" style="23" customWidth="1"/>
    <col min="11270" max="11271" width="10.7109375" style="23" customWidth="1"/>
    <col min="11272" max="11278" width="11.42578125" style="23"/>
    <col min="11279" max="11279" width="13.28515625" style="23" customWidth="1"/>
    <col min="11280" max="11521" width="11.42578125" style="23"/>
    <col min="11522" max="11522" width="36.7109375" style="23" customWidth="1"/>
    <col min="11523" max="11523" width="12.7109375" style="23" customWidth="1"/>
    <col min="11524" max="11524" width="10.7109375" style="23" customWidth="1"/>
    <col min="11525" max="11525" width="12.7109375" style="23" customWidth="1"/>
    <col min="11526" max="11527" width="10.7109375" style="23" customWidth="1"/>
    <col min="11528" max="11534" width="11.42578125" style="23"/>
    <col min="11535" max="11535" width="13.28515625" style="23" customWidth="1"/>
    <col min="11536" max="11777" width="11.42578125" style="23"/>
    <col min="11778" max="11778" width="36.7109375" style="23" customWidth="1"/>
    <col min="11779" max="11779" width="12.7109375" style="23" customWidth="1"/>
    <col min="11780" max="11780" width="10.7109375" style="23" customWidth="1"/>
    <col min="11781" max="11781" width="12.7109375" style="23" customWidth="1"/>
    <col min="11782" max="11783" width="10.7109375" style="23" customWidth="1"/>
    <col min="11784" max="11790" width="11.42578125" style="23"/>
    <col min="11791" max="11791" width="13.28515625" style="23" customWidth="1"/>
    <col min="11792" max="12033" width="11.42578125" style="23"/>
    <col min="12034" max="12034" width="36.7109375" style="23" customWidth="1"/>
    <col min="12035" max="12035" width="12.7109375" style="23" customWidth="1"/>
    <col min="12036" max="12036" width="10.7109375" style="23" customWidth="1"/>
    <col min="12037" max="12037" width="12.7109375" style="23" customWidth="1"/>
    <col min="12038" max="12039" width="10.7109375" style="23" customWidth="1"/>
    <col min="12040" max="12046" width="11.42578125" style="23"/>
    <col min="12047" max="12047" width="13.28515625" style="23" customWidth="1"/>
    <col min="12048" max="12289" width="11.42578125" style="23"/>
    <col min="12290" max="12290" width="36.7109375" style="23" customWidth="1"/>
    <col min="12291" max="12291" width="12.7109375" style="23" customWidth="1"/>
    <col min="12292" max="12292" width="10.7109375" style="23" customWidth="1"/>
    <col min="12293" max="12293" width="12.7109375" style="23" customWidth="1"/>
    <col min="12294" max="12295" width="10.7109375" style="23" customWidth="1"/>
    <col min="12296" max="12302" width="11.42578125" style="23"/>
    <col min="12303" max="12303" width="13.28515625" style="23" customWidth="1"/>
    <col min="12304" max="12545" width="11.42578125" style="23"/>
    <col min="12546" max="12546" width="36.7109375" style="23" customWidth="1"/>
    <col min="12547" max="12547" width="12.7109375" style="23" customWidth="1"/>
    <col min="12548" max="12548" width="10.7109375" style="23" customWidth="1"/>
    <col min="12549" max="12549" width="12.7109375" style="23" customWidth="1"/>
    <col min="12550" max="12551" width="10.7109375" style="23" customWidth="1"/>
    <col min="12552" max="12558" width="11.42578125" style="23"/>
    <col min="12559" max="12559" width="13.28515625" style="23" customWidth="1"/>
    <col min="12560" max="12801" width="11.42578125" style="23"/>
    <col min="12802" max="12802" width="36.7109375" style="23" customWidth="1"/>
    <col min="12803" max="12803" width="12.7109375" style="23" customWidth="1"/>
    <col min="12804" max="12804" width="10.7109375" style="23" customWidth="1"/>
    <col min="12805" max="12805" width="12.7109375" style="23" customWidth="1"/>
    <col min="12806" max="12807" width="10.7109375" style="23" customWidth="1"/>
    <col min="12808" max="12814" width="11.42578125" style="23"/>
    <col min="12815" max="12815" width="13.28515625" style="23" customWidth="1"/>
    <col min="12816" max="13057" width="11.42578125" style="23"/>
    <col min="13058" max="13058" width="36.7109375" style="23" customWidth="1"/>
    <col min="13059" max="13059" width="12.7109375" style="23" customWidth="1"/>
    <col min="13060" max="13060" width="10.7109375" style="23" customWidth="1"/>
    <col min="13061" max="13061" width="12.7109375" style="23" customWidth="1"/>
    <col min="13062" max="13063" width="10.7109375" style="23" customWidth="1"/>
    <col min="13064" max="13070" width="11.42578125" style="23"/>
    <col min="13071" max="13071" width="13.28515625" style="23" customWidth="1"/>
    <col min="13072" max="13313" width="11.42578125" style="23"/>
    <col min="13314" max="13314" width="36.7109375" style="23" customWidth="1"/>
    <col min="13315" max="13315" width="12.7109375" style="23" customWidth="1"/>
    <col min="13316" max="13316" width="10.7109375" style="23" customWidth="1"/>
    <col min="13317" max="13317" width="12.7109375" style="23" customWidth="1"/>
    <col min="13318" max="13319" width="10.7109375" style="23" customWidth="1"/>
    <col min="13320" max="13326" width="11.42578125" style="23"/>
    <col min="13327" max="13327" width="13.28515625" style="23" customWidth="1"/>
    <col min="13328" max="13569" width="11.42578125" style="23"/>
    <col min="13570" max="13570" width="36.7109375" style="23" customWidth="1"/>
    <col min="13571" max="13571" width="12.7109375" style="23" customWidth="1"/>
    <col min="13572" max="13572" width="10.7109375" style="23" customWidth="1"/>
    <col min="13573" max="13573" width="12.7109375" style="23" customWidth="1"/>
    <col min="13574" max="13575" width="10.7109375" style="23" customWidth="1"/>
    <col min="13576" max="13582" width="11.42578125" style="23"/>
    <col min="13583" max="13583" width="13.28515625" style="23" customWidth="1"/>
    <col min="13584" max="13825" width="11.42578125" style="23"/>
    <col min="13826" max="13826" width="36.7109375" style="23" customWidth="1"/>
    <col min="13827" max="13827" width="12.7109375" style="23" customWidth="1"/>
    <col min="13828" max="13828" width="10.7109375" style="23" customWidth="1"/>
    <col min="13829" max="13829" width="12.7109375" style="23" customWidth="1"/>
    <col min="13830" max="13831" width="10.7109375" style="23" customWidth="1"/>
    <col min="13832" max="13838" width="11.42578125" style="23"/>
    <col min="13839" max="13839" width="13.28515625" style="23" customWidth="1"/>
    <col min="13840" max="14081" width="11.42578125" style="23"/>
    <col min="14082" max="14082" width="36.7109375" style="23" customWidth="1"/>
    <col min="14083" max="14083" width="12.7109375" style="23" customWidth="1"/>
    <col min="14084" max="14084" width="10.7109375" style="23" customWidth="1"/>
    <col min="14085" max="14085" width="12.7109375" style="23" customWidth="1"/>
    <col min="14086" max="14087" width="10.7109375" style="23" customWidth="1"/>
    <col min="14088" max="14094" width="11.42578125" style="23"/>
    <col min="14095" max="14095" width="13.28515625" style="23" customWidth="1"/>
    <col min="14096" max="14337" width="11.42578125" style="23"/>
    <col min="14338" max="14338" width="36.7109375" style="23" customWidth="1"/>
    <col min="14339" max="14339" width="12.7109375" style="23" customWidth="1"/>
    <col min="14340" max="14340" width="10.7109375" style="23" customWidth="1"/>
    <col min="14341" max="14341" width="12.7109375" style="23" customWidth="1"/>
    <col min="14342" max="14343" width="10.7109375" style="23" customWidth="1"/>
    <col min="14344" max="14350" width="11.42578125" style="23"/>
    <col min="14351" max="14351" width="13.28515625" style="23" customWidth="1"/>
    <col min="14352" max="14593" width="11.42578125" style="23"/>
    <col min="14594" max="14594" width="36.7109375" style="23" customWidth="1"/>
    <col min="14595" max="14595" width="12.7109375" style="23" customWidth="1"/>
    <col min="14596" max="14596" width="10.7109375" style="23" customWidth="1"/>
    <col min="14597" max="14597" width="12.7109375" style="23" customWidth="1"/>
    <col min="14598" max="14599" width="10.7109375" style="23" customWidth="1"/>
    <col min="14600" max="14606" width="11.42578125" style="23"/>
    <col min="14607" max="14607" width="13.28515625" style="23" customWidth="1"/>
    <col min="14608" max="14849" width="11.42578125" style="23"/>
    <col min="14850" max="14850" width="36.7109375" style="23" customWidth="1"/>
    <col min="14851" max="14851" width="12.7109375" style="23" customWidth="1"/>
    <col min="14852" max="14852" width="10.7109375" style="23" customWidth="1"/>
    <col min="14853" max="14853" width="12.7109375" style="23" customWidth="1"/>
    <col min="14854" max="14855" width="10.7109375" style="23" customWidth="1"/>
    <col min="14856" max="14862" width="11.42578125" style="23"/>
    <col min="14863" max="14863" width="13.28515625" style="23" customWidth="1"/>
    <col min="14864" max="15105" width="11.42578125" style="23"/>
    <col min="15106" max="15106" width="36.7109375" style="23" customWidth="1"/>
    <col min="15107" max="15107" width="12.7109375" style="23" customWidth="1"/>
    <col min="15108" max="15108" width="10.7109375" style="23" customWidth="1"/>
    <col min="15109" max="15109" width="12.7109375" style="23" customWidth="1"/>
    <col min="15110" max="15111" width="10.7109375" style="23" customWidth="1"/>
    <col min="15112" max="15118" width="11.42578125" style="23"/>
    <col min="15119" max="15119" width="13.28515625" style="23" customWidth="1"/>
    <col min="15120" max="15361" width="11.42578125" style="23"/>
    <col min="15362" max="15362" width="36.7109375" style="23" customWidth="1"/>
    <col min="15363" max="15363" width="12.7109375" style="23" customWidth="1"/>
    <col min="15364" max="15364" width="10.7109375" style="23" customWidth="1"/>
    <col min="15365" max="15365" width="12.7109375" style="23" customWidth="1"/>
    <col min="15366" max="15367" width="10.7109375" style="23" customWidth="1"/>
    <col min="15368" max="15374" width="11.42578125" style="23"/>
    <col min="15375" max="15375" width="13.28515625" style="23" customWidth="1"/>
    <col min="15376" max="15617" width="11.42578125" style="23"/>
    <col min="15618" max="15618" width="36.7109375" style="23" customWidth="1"/>
    <col min="15619" max="15619" width="12.7109375" style="23" customWidth="1"/>
    <col min="15620" max="15620" width="10.7109375" style="23" customWidth="1"/>
    <col min="15621" max="15621" width="12.7109375" style="23" customWidth="1"/>
    <col min="15622" max="15623" width="10.7109375" style="23" customWidth="1"/>
    <col min="15624" max="15630" width="11.42578125" style="23"/>
    <col min="15631" max="15631" width="13.28515625" style="23" customWidth="1"/>
    <col min="15632" max="15873" width="11.42578125" style="23"/>
    <col min="15874" max="15874" width="36.7109375" style="23" customWidth="1"/>
    <col min="15875" max="15875" width="12.7109375" style="23" customWidth="1"/>
    <col min="15876" max="15876" width="10.7109375" style="23" customWidth="1"/>
    <col min="15877" max="15877" width="12.7109375" style="23" customWidth="1"/>
    <col min="15878" max="15879" width="10.7109375" style="23" customWidth="1"/>
    <col min="15880" max="15886" width="11.42578125" style="23"/>
    <col min="15887" max="15887" width="13.28515625" style="23" customWidth="1"/>
    <col min="15888" max="16129" width="11.42578125" style="23"/>
    <col min="16130" max="16130" width="36.7109375" style="23" customWidth="1"/>
    <col min="16131" max="16131" width="12.7109375" style="23" customWidth="1"/>
    <col min="16132" max="16132" width="10.7109375" style="23" customWidth="1"/>
    <col min="16133" max="16133" width="12.7109375" style="23" customWidth="1"/>
    <col min="16134" max="16135" width="10.7109375" style="23" customWidth="1"/>
    <col min="16136" max="16142" width="11.42578125" style="23"/>
    <col min="16143" max="16143" width="13.28515625" style="23" customWidth="1"/>
    <col min="16144" max="16384" width="11.42578125" style="23"/>
  </cols>
  <sheetData>
    <row r="1" spans="2:14" ht="26.25">
      <c r="B1" s="26"/>
    </row>
    <row r="7" spans="2:14" ht="33.75" customHeight="1">
      <c r="B7" s="447" t="s">
        <v>237</v>
      </c>
      <c r="C7" s="448"/>
      <c r="D7" s="448"/>
      <c r="E7" s="448"/>
      <c r="F7" s="448"/>
      <c r="G7" s="449"/>
      <c r="I7" s="447" t="s">
        <v>316</v>
      </c>
      <c r="J7" s="448"/>
      <c r="K7" s="448"/>
      <c r="L7" s="448"/>
      <c r="M7" s="448"/>
      <c r="N7" s="449"/>
    </row>
    <row r="8" spans="2:14" ht="41.25" customHeight="1">
      <c r="B8" s="30" t="s">
        <v>238</v>
      </c>
      <c r="C8" s="329" t="str">
        <f>actualizaciones!$A$3</f>
        <v>acumulado julio 2009</v>
      </c>
      <c r="D8" s="330" t="s">
        <v>27</v>
      </c>
      <c r="E8" s="329" t="str">
        <f>actualizaciones!$A$2</f>
        <v xml:space="preserve">acumulado julio 2010 </v>
      </c>
      <c r="F8" s="330" t="s">
        <v>27</v>
      </c>
      <c r="G8" s="330" t="s">
        <v>28</v>
      </c>
      <c r="I8" s="30" t="s">
        <v>238</v>
      </c>
      <c r="J8" s="329" t="str">
        <f>actualizaciones!$A$3</f>
        <v>acumulado julio 2009</v>
      </c>
      <c r="K8" s="330" t="s">
        <v>27</v>
      </c>
      <c r="L8" s="329" t="str">
        <f>actualizaciones!$A$2</f>
        <v xml:space="preserve">acumulado julio 2010 </v>
      </c>
      <c r="M8" s="330" t="s">
        <v>27</v>
      </c>
      <c r="N8" s="330" t="s">
        <v>28</v>
      </c>
    </row>
    <row r="9" spans="2:14">
      <c r="B9" s="98" t="s">
        <v>239</v>
      </c>
      <c r="C9" s="99"/>
      <c r="D9" s="100"/>
      <c r="E9" s="99"/>
      <c r="F9" s="99"/>
      <c r="G9" s="100"/>
      <c r="I9" s="98" t="s">
        <v>239</v>
      </c>
      <c r="J9" s="99"/>
      <c r="K9" s="100"/>
      <c r="L9" s="99"/>
      <c r="M9" s="99"/>
      <c r="N9" s="100"/>
    </row>
    <row r="10" spans="2:14">
      <c r="B10" s="358" t="s">
        <v>317</v>
      </c>
      <c r="C10" s="34">
        <f>GETPIVOTDATA("dato",'[1]tabla dinámica municipios'!$A$4,"indicador","Pernoctaciones","categoría","TOTAL","municipio","ADEJE","año",2009)</f>
        <v>7711663</v>
      </c>
      <c r="D10" s="35">
        <f>C10/$C$10</f>
        <v>1</v>
      </c>
      <c r="E10" s="34">
        <f>GETPIVOTDATA("dato",'[1]tabla dinámica municipios'!$A$4,"indicador","Pernoctaciones","categoría","TOTAL","municipio","ADEJE","año",2010)</f>
        <v>7698603</v>
      </c>
      <c r="F10" s="35">
        <f>E10/$E$10</f>
        <v>1</v>
      </c>
      <c r="G10" s="35">
        <f>(E10-C10)/C10</f>
        <v>-1.6935387347709566E-3</v>
      </c>
      <c r="I10" s="358" t="s">
        <v>317</v>
      </c>
      <c r="J10" s="34">
        <f>GETPIVOTDATA("dato",'[1]tabla dinámica municipios'!$A$4,"indicador","Pernoctaciones","categoría","TOTAL","municipio","ARONA","año",2009)</f>
        <v>6591865</v>
      </c>
      <c r="K10" s="35">
        <f>J10/$C$10</f>
        <v>0.85479163184387075</v>
      </c>
      <c r="L10" s="34">
        <f>GETPIVOTDATA("dato",'[1]tabla dinámica municipios'!$A$4,"indicador","Pernoctaciones","categoría","TOTAL","municipio","ARONA","año",2010)</f>
        <v>6476287</v>
      </c>
      <c r="M10" s="35">
        <f>L10/$E$10</f>
        <v>0.84122885671595227</v>
      </c>
      <c r="N10" s="35">
        <f>(L10-J10)/J10</f>
        <v>-1.7533429461920109E-2</v>
      </c>
    </row>
    <row r="11" spans="2:14">
      <c r="B11" s="98" t="s">
        <v>241</v>
      </c>
      <c r="C11" s="99"/>
      <c r="D11" s="107"/>
      <c r="E11" s="99"/>
      <c r="F11" s="450"/>
      <c r="G11" s="451"/>
      <c r="I11" s="98" t="s">
        <v>241</v>
      </c>
      <c r="J11" s="99"/>
      <c r="K11" s="107"/>
      <c r="L11" s="99"/>
      <c r="M11" s="450"/>
      <c r="N11" s="451"/>
    </row>
    <row r="12" spans="2:14">
      <c r="B12" s="111" t="s">
        <v>242</v>
      </c>
      <c r="C12" s="452">
        <f>GETPIVOTDATA("dato",'[1]tabla dinámica municipios'!$A$4,"indicador","Pernoctaciones","categoría","Hoteleros","municipio","ADEJE","año",2009)</f>
        <v>4759902</v>
      </c>
      <c r="D12" s="110">
        <f>C12/$C$10</f>
        <v>0.61723418152478915</v>
      </c>
      <c r="E12" s="452">
        <f>GETPIVOTDATA("dato",'[1]tabla dinámica municipios'!$A$4,"indicador","Pernoctaciones","categoría","Hoteleros","municipio","ADEJE","año",2010)</f>
        <v>4862858</v>
      </c>
      <c r="F12" s="110">
        <f>E12/$E$10</f>
        <v>0.63165460019174913</v>
      </c>
      <c r="G12" s="453">
        <f>(E12-C12)/C12</f>
        <v>2.1629857085292931E-2</v>
      </c>
      <c r="I12" s="111" t="s">
        <v>242</v>
      </c>
      <c r="J12" s="452">
        <f>GETPIVOTDATA("dato",'[1]tabla dinámica municipios'!$A$4,"indicador","Pernoctaciones","categoría","Hoteleros","municipio","ARONA","año",2009)</f>
        <v>2787146</v>
      </c>
      <c r="K12" s="110">
        <f>J12/$C$10</f>
        <v>0.36141957966783561</v>
      </c>
      <c r="L12" s="452">
        <f>GETPIVOTDATA("dato",'[1]tabla dinámica municipios'!$A$4,"indicador","Pernoctaciones","categoría","Hoteleros","municipio","ARONA","año",2010)</f>
        <v>2876302</v>
      </c>
      <c r="M12" s="110">
        <f>L12/$E$10</f>
        <v>0.37361349844900432</v>
      </c>
      <c r="N12" s="453">
        <f>(L12-J12)/J12</f>
        <v>3.1988277614448613E-2</v>
      </c>
    </row>
    <row r="13" spans="2:14">
      <c r="B13" s="111" t="s">
        <v>243</v>
      </c>
      <c r="C13" s="454">
        <f>GETPIVOTDATA("dato",'[1]tabla dinámica municipios'!$A$4,"indicador","Pernoctaciones","categoría","5 *","municipio","ADEJE","año",2009)</f>
        <v>582693</v>
      </c>
      <c r="D13" s="39">
        <f>C13/$C$10</f>
        <v>7.5559966767219988E-2</v>
      </c>
      <c r="E13" s="454">
        <f>GETPIVOTDATA("dato",'[1]tabla dinámica municipios'!$A$4,"indicador","Pernoctaciones","categoría","5 *","municipio","ADEJE","año",2010)</f>
        <v>632980</v>
      </c>
      <c r="F13" s="39">
        <f>E13/$E$10</f>
        <v>8.2220111882636365E-2</v>
      </c>
      <c r="G13" s="455">
        <f>(E13-C13)/C13</f>
        <v>8.630101957634638E-2</v>
      </c>
      <c r="I13" s="111" t="s">
        <v>243</v>
      </c>
      <c r="J13" s="454">
        <f>GETPIVOTDATA("dato",'[1]tabla dinámica municipios'!$A$4,"indicador","Pernoctaciones","categoría","5 *","municipio","ARONA","año",2009)</f>
        <v>319628</v>
      </c>
      <c r="K13" s="39">
        <f>J13/$C$10</f>
        <v>4.1447350590916643E-2</v>
      </c>
      <c r="L13" s="454">
        <f>GETPIVOTDATA("dato",'[1]tabla dinámica municipios'!$A$4,"indicador","Pernoctaciones","categoría","5 *","municipio","ARONA","año",2010)</f>
        <v>343310</v>
      </c>
      <c r="M13" s="39">
        <f>L13/$E$10</f>
        <v>4.4593804876027508E-2</v>
      </c>
      <c r="N13" s="455">
        <f>(L13-J13)/J13</f>
        <v>7.409238239453364E-2</v>
      </c>
    </row>
    <row r="14" spans="2:14">
      <c r="B14" s="111" t="s">
        <v>244</v>
      </c>
      <c r="C14" s="454">
        <f>GETPIVOTDATA("dato",'[1]tabla dinámica municipios'!$A$4,"indicador","Pernoctaciones","categoría","4 *","municipio","ADEJE","año",2009)</f>
        <v>3153691</v>
      </c>
      <c r="D14" s="39">
        <f>C14/$C$10</f>
        <v>0.40895083200601479</v>
      </c>
      <c r="E14" s="454">
        <f>GETPIVOTDATA("dato",'[1]tabla dinámica municipios'!$A$4,"indicador","Pernoctaciones","categoría","4 *","municipio","ADEJE","año",2010)</f>
        <v>3356200</v>
      </c>
      <c r="F14" s="39">
        <f>E14/$E$10</f>
        <v>0.43594922351496757</v>
      </c>
      <c r="G14" s="455">
        <f>(E14-C14)/C14</f>
        <v>6.4213329714293499E-2</v>
      </c>
      <c r="I14" s="111" t="s">
        <v>244</v>
      </c>
      <c r="J14" s="454">
        <f>GETPIVOTDATA("dato",'[1]tabla dinámica municipios'!$A$4,"indicador","Pernoctaciones","categoría","4 *","municipio","ARONA","año",2009)</f>
        <v>1592558</v>
      </c>
      <c r="K14" s="39">
        <f>J14/$C$10</f>
        <v>0.20651291427024235</v>
      </c>
      <c r="L14" s="454">
        <f>GETPIVOTDATA("dato",'[1]tabla dinámica municipios'!$A$4,"indicador","Pernoctaciones","categoría","4 *","municipio","ARONA","año",2010)</f>
        <v>1675752</v>
      </c>
      <c r="M14" s="39">
        <f>L14/$E$10</f>
        <v>0.21766962135857634</v>
      </c>
      <c r="N14" s="455">
        <f>(L14-J14)/J14</f>
        <v>5.2239227707876257E-2</v>
      </c>
    </row>
    <row r="15" spans="2:14">
      <c r="B15" s="111" t="s">
        <v>245</v>
      </c>
      <c r="C15" s="454">
        <f>GETPIVOTDATA("dato",'[1]tabla dinámica municipios'!$A$4,"indicador","Pernoctaciones","categoría","3 *","municipio","ADEJE","año",2009)</f>
        <v>954574</v>
      </c>
      <c r="D15" s="39">
        <f>C15/$C$10</f>
        <v>0.12378315805553225</v>
      </c>
      <c r="E15" s="454">
        <f>GETPIVOTDATA("dato",'[1]tabla dinámica municipios'!$A$4,"indicador","Pernoctaciones","categoría","3 *","municipio","ADEJE","año",2010)</f>
        <v>803958</v>
      </c>
      <c r="F15" s="39">
        <f>E15/$E$10</f>
        <v>0.10442907628825646</v>
      </c>
      <c r="G15" s="455">
        <f>(E15-C15)/C15</f>
        <v>-0.15778347199902784</v>
      </c>
      <c r="I15" s="111" t="s">
        <v>245</v>
      </c>
      <c r="J15" s="454">
        <f>GETPIVOTDATA("dato",'[1]tabla dinámica municipios'!$A$4,"indicador","Pernoctaciones","categoría","3 *","municipio","ARONA","año",2009)</f>
        <v>815635</v>
      </c>
      <c r="K15" s="39">
        <f>J15/$C$10</f>
        <v>0.10576642158766533</v>
      </c>
      <c r="L15" s="454">
        <f>GETPIVOTDATA("dato",'[1]tabla dinámica municipios'!$A$4,"indicador","Pernoctaciones","categoría","3 *","municipio","ARONA","año",2010)</f>
        <v>804119</v>
      </c>
      <c r="M15" s="39">
        <f>L15/$E$10</f>
        <v>0.10444998917336042</v>
      </c>
      <c r="N15" s="455">
        <f>(L15-J15)/J15</f>
        <v>-1.4119060609218585E-2</v>
      </c>
    </row>
    <row r="16" spans="2:14">
      <c r="B16" s="111" t="s">
        <v>246</v>
      </c>
      <c r="C16" s="454">
        <f>GETPIVOTDATA("dato",'[1]tabla dinámica municipios'!$A$4,"indicador","Pernoctaciones","categoría","1* y 2 *","municipio","ADEJE","año",2009)</f>
        <v>68944</v>
      </c>
      <c r="D16" s="39">
        <f>C16/$C$10</f>
        <v>8.9402246960221168E-3</v>
      </c>
      <c r="E16" s="454">
        <f>GETPIVOTDATA("dato",'[1]tabla dinámica municipios'!$A$4,"indicador","Pernoctaciones","categoría","1* y 2 *","municipio","ADEJE","año",2010)</f>
        <v>69720</v>
      </c>
      <c r="F16" s="39">
        <f>E16/$E$10</f>
        <v>9.0561885058886658E-3</v>
      </c>
      <c r="G16" s="455">
        <f>(E16-C16)/C16</f>
        <v>1.1255511719656533E-2</v>
      </c>
      <c r="I16" s="111" t="s">
        <v>246</v>
      </c>
      <c r="J16" s="454">
        <f>GETPIVOTDATA("dato",'[1]tabla dinámica municipios'!$A$4,"indicador","Pernoctaciones","categoría","1* y 2 *","municipio","ARONA","año",2009)</f>
        <v>59325</v>
      </c>
      <c r="K16" s="39">
        <f>J16/$C$10</f>
        <v>7.6928932190112563E-3</v>
      </c>
      <c r="L16" s="454">
        <f>GETPIVOTDATA("dato",'[1]tabla dinámica municipios'!$A$4,"indicador","Pernoctaciones","categoría","1* y 2 *","municipio","ARONA","año",2010)</f>
        <v>53121</v>
      </c>
      <c r="M16" s="39">
        <f>L16/$E$10</f>
        <v>6.9000830410400433E-3</v>
      </c>
      <c r="N16" s="455">
        <f>(L16-J16)/J16</f>
        <v>-0.10457648546144122</v>
      </c>
    </row>
    <row r="17" spans="2:16">
      <c r="B17" s="98" t="s">
        <v>247</v>
      </c>
      <c r="C17" s="107"/>
      <c r="D17" s="107"/>
      <c r="E17" s="107"/>
      <c r="F17" s="456"/>
      <c r="G17" s="457"/>
      <c r="I17" s="98" t="s">
        <v>247</v>
      </c>
      <c r="J17" s="107"/>
      <c r="K17" s="107"/>
      <c r="L17" s="107"/>
      <c r="M17" s="456"/>
      <c r="N17" s="457"/>
    </row>
    <row r="18" spans="2:16">
      <c r="B18" s="337" t="s">
        <v>248</v>
      </c>
      <c r="C18" s="112">
        <f>GETPIVOTDATA("dato",'[1]tabla dinámica municipios'!$A$4,"indicador","Pernoctaciones","categoría","Extrahoteleros","municipio","ADEJE","año",2009)</f>
        <v>2951761</v>
      </c>
      <c r="D18" s="110">
        <f>C18/$C$10</f>
        <v>0.38276581847521085</v>
      </c>
      <c r="E18" s="112">
        <f>GETPIVOTDATA("dato",'[1]tabla dinámica municipios'!$A$4,"indicador","Pernoctaciones","categoría","Extrahoteleros","municipio","ADEJE","año",2010)</f>
        <v>2835745</v>
      </c>
      <c r="F18" s="39">
        <f>E18/$E$10</f>
        <v>0.36834539980825093</v>
      </c>
      <c r="G18" s="41">
        <f>(E18-C18)/C18</f>
        <v>-3.9303995140527979E-2</v>
      </c>
      <c r="I18" s="337" t="s">
        <v>248</v>
      </c>
      <c r="J18" s="112">
        <f>GETPIVOTDATA("dato",'[1]tabla dinámica municipios'!$A$4,"indicador","Pernoctaciones","categoría","Extrahoteleros","municipio","ARONA","año",2009)</f>
        <v>3804719</v>
      </c>
      <c r="K18" s="110">
        <f>J18/$C$10</f>
        <v>0.49337205217603519</v>
      </c>
      <c r="L18" s="112">
        <f>GETPIVOTDATA("dato",'[1]tabla dinámica municipios'!$A$4,"indicador","Pernoctaciones","categoría","Extrahoteleros","municipio","ARONA","año",2010)</f>
        <v>3599985</v>
      </c>
      <c r="M18" s="39">
        <f>L18/$E$10</f>
        <v>0.46761535826694789</v>
      </c>
      <c r="N18" s="41">
        <f>(L18-J18)/J18</f>
        <v>-5.3810544221531212E-2</v>
      </c>
    </row>
    <row r="19" spans="2:16">
      <c r="B19" s="458" t="s">
        <v>90</v>
      </c>
      <c r="C19" s="459"/>
      <c r="D19" s="459"/>
      <c r="E19" s="459"/>
      <c r="F19" s="459"/>
      <c r="G19" s="460"/>
      <c r="I19" s="458" t="s">
        <v>90</v>
      </c>
      <c r="J19" s="459"/>
      <c r="K19" s="459"/>
      <c r="L19" s="459"/>
      <c r="M19" s="459"/>
      <c r="N19" s="460"/>
    </row>
    <row r="20" spans="2:16" ht="20.100000000000001" customHeight="1" thickBot="1"/>
    <row r="21" spans="2:16" ht="38.25" customHeight="1" thickBot="1">
      <c r="B21" s="447" t="s">
        <v>318</v>
      </c>
      <c r="C21" s="448"/>
      <c r="D21" s="448"/>
      <c r="E21" s="448"/>
      <c r="F21" s="448"/>
      <c r="G21" s="449"/>
      <c r="I21" s="447" t="s">
        <v>319</v>
      </c>
      <c r="J21" s="448"/>
      <c r="K21" s="448"/>
      <c r="L21" s="448"/>
      <c r="M21" s="448"/>
      <c r="N21" s="449"/>
      <c r="P21" s="60" t="s">
        <v>49</v>
      </c>
    </row>
    <row r="22" spans="2:16" ht="33.75" customHeight="1">
      <c r="B22" s="30" t="s">
        <v>238</v>
      </c>
      <c r="C22" s="329" t="str">
        <f>actualizaciones!$A$3</f>
        <v>acumulado julio 2009</v>
      </c>
      <c r="D22" s="330" t="s">
        <v>27</v>
      </c>
      <c r="E22" s="329" t="str">
        <f>actualizaciones!$A$2</f>
        <v xml:space="preserve">acumulado julio 2010 </v>
      </c>
      <c r="F22" s="330" t="s">
        <v>27</v>
      </c>
      <c r="G22" s="330" t="s">
        <v>28</v>
      </c>
      <c r="I22" s="30" t="s">
        <v>238</v>
      </c>
      <c r="J22" s="329" t="str">
        <f>actualizaciones!$A$3</f>
        <v>acumulado julio 2009</v>
      </c>
      <c r="K22" s="330" t="s">
        <v>27</v>
      </c>
      <c r="L22" s="329" t="str">
        <f>actualizaciones!$A$2</f>
        <v xml:space="preserve">acumulado julio 2010 </v>
      </c>
      <c r="M22" s="330" t="s">
        <v>27</v>
      </c>
      <c r="N22" s="330" t="s">
        <v>28</v>
      </c>
    </row>
    <row r="23" spans="2:16">
      <c r="B23" s="98" t="s">
        <v>239</v>
      </c>
      <c r="C23" s="99"/>
      <c r="D23" s="100"/>
      <c r="E23" s="99"/>
      <c r="F23" s="99"/>
      <c r="G23" s="100"/>
      <c r="I23" s="98" t="s">
        <v>239</v>
      </c>
      <c r="J23" s="99"/>
      <c r="K23" s="100"/>
      <c r="L23" s="99"/>
      <c r="M23" s="99"/>
      <c r="N23" s="100"/>
    </row>
    <row r="24" spans="2:16">
      <c r="B24" s="358" t="s">
        <v>317</v>
      </c>
      <c r="C24" s="34">
        <f>GETPIVOTDATA("dato",'[1]tabla dinámica municipios'!$A$4,"indicador","Pernoctaciones","categoría","TOTAL","municipio","puerto de la cruz","año",2009)</f>
        <v>3360494</v>
      </c>
      <c r="D24" s="35">
        <f>C24/$C$10</f>
        <v>0.43576774555630865</v>
      </c>
      <c r="E24" s="34">
        <f>GETPIVOTDATA("dato",'[1]tabla dinámica municipios'!$A$4,"indicador","Pernoctaciones","categoría","TOTAL","municipio","puerto de la cruz","año",2010)</f>
        <v>3090514</v>
      </c>
      <c r="F24" s="35">
        <f>E24/$E$10</f>
        <v>0.40143828692036726</v>
      </c>
      <c r="G24" s="35">
        <f>(E24-C24)/C24</f>
        <v>-8.0339378674682951E-2</v>
      </c>
      <c r="I24" s="358" t="s">
        <v>317</v>
      </c>
      <c r="J24" s="34">
        <f>GETPIVOTDATA("dato",'[1]tabla dinámica municipios'!$A$4,"indicador","Pernoctaciones","categoría","TOTAL","municipio","SANTA CRUZ","año",2009)</f>
        <v>224256</v>
      </c>
      <c r="K24" s="35">
        <f>J24/$C$10</f>
        <v>2.9080108920734735E-2</v>
      </c>
      <c r="L24" s="34">
        <f>GETPIVOTDATA("dato",'[1]tabla dinámica municipios'!$A$4,"indicador","Pernoctaciones","categoría","TOTAL","municipio","SANTA CRUZ","año",2010)</f>
        <v>193668</v>
      </c>
      <c r="M24" s="35">
        <f>L24/$E$10</f>
        <v>2.5156252374619135E-2</v>
      </c>
      <c r="N24" s="35">
        <f>(L24-J24)/J24</f>
        <v>-0.13639768835616439</v>
      </c>
    </row>
    <row r="25" spans="2:16">
      <c r="B25" s="98" t="s">
        <v>241</v>
      </c>
      <c r="C25" s="99"/>
      <c r="D25" s="107"/>
      <c r="E25" s="99"/>
      <c r="F25" s="450"/>
      <c r="G25" s="451"/>
      <c r="I25" s="98" t="s">
        <v>241</v>
      </c>
      <c r="J25" s="99"/>
      <c r="K25" s="107"/>
      <c r="L25" s="99"/>
      <c r="M25" s="450"/>
      <c r="N25" s="451"/>
    </row>
    <row r="26" spans="2:16">
      <c r="B26" s="111" t="s">
        <v>242</v>
      </c>
      <c r="C26" s="452">
        <f>GETPIVOTDATA("dato",'[1]tabla dinámica municipios'!$A$4,"indicador","Pernoctaciones","categoría","Hoteleros","municipio","puerto de la cruz","año",2009)</f>
        <v>2131326</v>
      </c>
      <c r="D26" s="110">
        <f>C26/$C$10</f>
        <v>0.27637696304934489</v>
      </c>
      <c r="E26" s="452">
        <f>GETPIVOTDATA("dato",'[1]tabla dinámica municipios'!$A$4,"indicador","Pernoctaciones","categoría","Hoteleros","municipio","puerto de la cruz","año",2010)</f>
        <v>2079572</v>
      </c>
      <c r="F26" s="110">
        <f>E26/$E$10</f>
        <v>0.27012329379758898</v>
      </c>
      <c r="G26" s="453">
        <f>(E26-C26)/C26</f>
        <v>-2.428253584857502E-2</v>
      </c>
      <c r="I26" s="111" t="s">
        <v>242</v>
      </c>
      <c r="J26" s="452">
        <f>GETPIVOTDATA("dato",'[1]tabla dinámica municipios'!$A$4,"indicador","Pernoctaciones","categoría","Hoteleros","municipio","SANTA CRUZ","año",2009)</f>
        <v>224256</v>
      </c>
      <c r="K26" s="110">
        <f>J26/$C$10</f>
        <v>2.9080108920734735E-2</v>
      </c>
      <c r="L26" s="452">
        <f>GETPIVOTDATA("dato",'[1]tabla dinámica municipios'!$A$4,"indicador","Pernoctaciones","categoría","Hoteleros","municipio","SANTA CRUZ","año",2010)</f>
        <v>193668</v>
      </c>
      <c r="M26" s="110">
        <f>L26/$E$10</f>
        <v>2.5156252374619135E-2</v>
      </c>
      <c r="N26" s="453">
        <f>(L26-J26)/J26</f>
        <v>-0.13639768835616439</v>
      </c>
    </row>
    <row r="27" spans="2:16">
      <c r="B27" s="111" t="s">
        <v>312</v>
      </c>
      <c r="C27" s="454">
        <f>GETPIVOTDATA("dato",'[1]tabla dinámica municipios'!$A$4,"indicador","Pernoctaciones","categoría","4* y 5*","municipio","puerto de la cruz","año",2009)</f>
        <v>1754608</v>
      </c>
      <c r="D27" s="39">
        <f>C27/$C$10</f>
        <v>0.22752653999532915</v>
      </c>
      <c r="E27" s="454">
        <f>GETPIVOTDATA("dato",'[1]tabla dinámica municipios'!$A$4,"indicador","Pernoctaciones","categoría","4* y 5*","municipio","puerto de la cruz","año",2010)</f>
        <v>1737011</v>
      </c>
      <c r="F27" s="39">
        <f>E27/$E$10</f>
        <v>0.22562677930008859</v>
      </c>
      <c r="G27" s="455">
        <f>(E27-C27)/C27</f>
        <v>-1.0029020727136774E-2</v>
      </c>
      <c r="I27" s="111" t="s">
        <v>312</v>
      </c>
      <c r="J27" s="454">
        <f>GETPIVOTDATA("dato",'[1]tabla dinámica municipios'!$A$4,"indicador","Pernoctaciones","categoría","4* y 5*","municipio","SANTA CRUZ","año",2009)</f>
        <v>71618</v>
      </c>
      <c r="K27" s="39">
        <f>J27/$C$10</f>
        <v>9.2869722133863998E-3</v>
      </c>
      <c r="L27" s="454">
        <f>GETPIVOTDATA("dato",'[1]tabla dinámica municipios'!$A$4,"indicador","Pernoctaciones","categoría","4* y 5*","municipio","SANTA CRUZ","año",2010)</f>
        <v>55034</v>
      </c>
      <c r="M27" s="39">
        <f>L27/$E$10</f>
        <v>7.1485696820579011E-3</v>
      </c>
      <c r="N27" s="455">
        <f>(L27-J27)/J27</f>
        <v>-0.23156189784691</v>
      </c>
    </row>
    <row r="28" spans="2:16">
      <c r="B28" s="111" t="s">
        <v>245</v>
      </c>
      <c r="C28" s="454">
        <f>GETPIVOTDATA("dato",'[1]tabla dinámica municipios'!$A$4,"indicador","Pernoctaciones","categoría","3 *","municipio","puerto de la cruz","año",2009)</f>
        <v>355367</v>
      </c>
      <c r="D28" s="39">
        <f>C28/$C$10</f>
        <v>4.6081759537469416E-2</v>
      </c>
      <c r="E28" s="454">
        <f>GETPIVOTDATA("dato",'[1]tabla dinámica municipios'!$A$4,"indicador","Pernoctaciones","categoría","3 *","municipio","puerto de la cruz","año",2010)</f>
        <v>320280</v>
      </c>
      <c r="F28" s="39">
        <f>E28/$E$10</f>
        <v>4.1602353050287179E-2</v>
      </c>
      <c r="G28" s="455">
        <f>(E28-C28)/C28</f>
        <v>-9.8734547664808492E-2</v>
      </c>
      <c r="I28" s="111" t="s">
        <v>245</v>
      </c>
      <c r="J28" s="454">
        <f>GETPIVOTDATA("dato",'[1]tabla dinámica municipios'!$A$4,"indicador","Pernoctaciones","categoría","3 *","municipio","SANTA CRUZ","año",2009)</f>
        <v>57372</v>
      </c>
      <c r="K28" s="39">
        <f>J28/$C$10</f>
        <v>7.4396404510933632E-3</v>
      </c>
      <c r="L28" s="454">
        <f>GETPIVOTDATA("dato",'[1]tabla dinámica municipios'!$A$4,"indicador","Pernoctaciones","categoría","3 *","municipio","SANTA CRUZ","año",2010)</f>
        <v>58666</v>
      </c>
      <c r="M28" s="39">
        <f>L28/$E$10</f>
        <v>7.6203435870118253E-3</v>
      </c>
      <c r="N28" s="455">
        <f>(L28-J28)/J28</f>
        <v>2.2554556229519625E-2</v>
      </c>
    </row>
    <row r="29" spans="2:16">
      <c r="B29" s="111" t="s">
        <v>246</v>
      </c>
      <c r="C29" s="454">
        <f>GETPIVOTDATA("dato",'[1]tabla dinámica municipios'!$A$4,"indicador","Pernoctaciones","categoría","1* y 2 *","municipio","puerto de la cruz","año",2009)</f>
        <v>21351</v>
      </c>
      <c r="D29" s="39">
        <f>C29/$C$10</f>
        <v>2.7686635165463012E-3</v>
      </c>
      <c r="E29" s="454">
        <f>GETPIVOTDATA("dato",'[1]tabla dinámica municipios'!$A$4,"indicador","Pernoctaciones","categoría","1* y 2 *","municipio","puerto de la cruz","año",2010)</f>
        <v>22281</v>
      </c>
      <c r="F29" s="39">
        <f>E29/$E$10</f>
        <v>2.8941614472132154E-3</v>
      </c>
      <c r="G29" s="455">
        <f>(E29-C29)/C29</f>
        <v>4.3557678797246029E-2</v>
      </c>
      <c r="I29" s="111" t="s">
        <v>313</v>
      </c>
      <c r="J29" s="454">
        <f>GETPIVOTDATA("dato",'[1]tabla dinámica municipios'!$A$4,"indicador","Pernoctaciones","categoría","2*","municipio","SANTA CRUZ","año",2009)</f>
        <v>75411</v>
      </c>
      <c r="K29" s="39">
        <f>J29/$C$10</f>
        <v>9.7788246192812116E-3</v>
      </c>
      <c r="L29" s="454">
        <f>GETPIVOTDATA("dato",'[1]tabla dinámica municipios'!$A$4,"indicador","Pernoctaciones","categoría","2*","municipio","SANTA CRUZ","año",2010)</f>
        <v>61775</v>
      </c>
      <c r="M29" s="39">
        <f>L29/$E$10</f>
        <v>8.0241830888019561E-3</v>
      </c>
      <c r="N29" s="455">
        <f>(L29-J29)/J29</f>
        <v>-0.18082242643646151</v>
      </c>
    </row>
    <row r="30" spans="2:16">
      <c r="B30" s="98" t="s">
        <v>247</v>
      </c>
      <c r="C30" s="107"/>
      <c r="D30" s="107"/>
      <c r="E30" s="107"/>
      <c r="F30" s="456"/>
      <c r="G30" s="457"/>
      <c r="I30" s="111" t="s">
        <v>314</v>
      </c>
      <c r="J30" s="454">
        <f>GETPIVOTDATA("dato",'[1]tabla dinámica municipios'!$A$4,"indicador","Pernoctaciones","categoría","1*","municipio","SANTA CRUZ","año",2009)</f>
        <v>19855</v>
      </c>
      <c r="K30" s="39">
        <f>J30/$C$10</f>
        <v>2.574671636973763E-3</v>
      </c>
      <c r="L30" s="454">
        <f>GETPIVOTDATA("dato",'[1]tabla dinámica municipios'!$A$4,"indicador","Pernoctaciones","categoría","1*","municipio","SANTA CRUZ","año",2010)</f>
        <v>18193</v>
      </c>
      <c r="M30" s="39">
        <f>L30/$E$10</f>
        <v>2.3631560167474541E-3</v>
      </c>
      <c r="N30" s="455">
        <f>(L30-J30)/J30</f>
        <v>-8.3706874842608914E-2</v>
      </c>
    </row>
    <row r="31" spans="2:16">
      <c r="B31" s="337" t="s">
        <v>248</v>
      </c>
      <c r="C31" s="112">
        <f>GETPIVOTDATA("dato",'[1]tabla dinámica municipios'!$A$4,"indicador","Pernoctaciones","categoría","Extrahoteleros","municipio","puerto de la cruz","año",2009)</f>
        <v>1229168</v>
      </c>
      <c r="D31" s="110">
        <f>C31/$C$10</f>
        <v>0.15939078250696381</v>
      </c>
      <c r="E31" s="112">
        <f>GETPIVOTDATA("dato",'[1]tabla dinámica municipios'!$A$4,"indicador","Pernoctaciones","categoría","Extrahoteleros","municipio","puerto de la cruz","año",2010)</f>
        <v>1010942</v>
      </c>
      <c r="F31" s="39">
        <f>E31/$E$10</f>
        <v>0.13131499312277825</v>
      </c>
      <c r="G31" s="41">
        <f>(E31-C31)/C31</f>
        <v>-0.17753960402483632</v>
      </c>
      <c r="I31" s="98" t="s">
        <v>247</v>
      </c>
      <c r="J31" s="107"/>
      <c r="K31" s="107"/>
      <c r="L31" s="107"/>
      <c r="M31" s="456"/>
      <c r="N31" s="457"/>
    </row>
    <row r="32" spans="2:16">
      <c r="B32" s="458" t="s">
        <v>90</v>
      </c>
      <c r="C32" s="459"/>
      <c r="D32" s="459"/>
      <c r="E32" s="459"/>
      <c r="F32" s="459"/>
      <c r="G32" s="460"/>
      <c r="I32" s="337" t="s">
        <v>248</v>
      </c>
      <c r="J32" s="112">
        <f>GETPIVOTDATA("dato",'[1]tabla dinámica municipios'!$A$4,"indicador","Pernoctaciones","categoría","Extrahoteleros","municipio","SANTA CRUZ","año",2009)</f>
        <v>0</v>
      </c>
      <c r="K32" s="110">
        <f>J32/$C$10</f>
        <v>0</v>
      </c>
      <c r="L32" s="112">
        <f>GETPIVOTDATA("dato",'[1]tabla dinámica municipios'!$A$4,"indicador","Pernoctaciones","categoría","Extrahoteleros","municipio","SANTA CRUZ","año",2010)</f>
        <v>0</v>
      </c>
      <c r="M32" s="39">
        <f>L32/$E$10</f>
        <v>0</v>
      </c>
      <c r="N32" s="444" t="str">
        <f>IFERROR((L32-J32)/J32,"-")</f>
        <v>-</v>
      </c>
    </row>
    <row r="33" spans="9:14">
      <c r="I33" s="458" t="s">
        <v>90</v>
      </c>
      <c r="J33" s="459"/>
      <c r="K33" s="459"/>
      <c r="L33" s="459"/>
      <c r="M33" s="459"/>
      <c r="N33" s="460"/>
    </row>
  </sheetData>
  <mergeCells count="8">
    <mergeCell ref="B32:G32"/>
    <mergeCell ref="I33:N33"/>
    <mergeCell ref="B7:G7"/>
    <mergeCell ref="I7:N7"/>
    <mergeCell ref="B19:G19"/>
    <mergeCell ref="I19:N19"/>
    <mergeCell ref="B21:G21"/>
    <mergeCell ref="I21:N21"/>
  </mergeCells>
  <hyperlinks>
    <hyperlink ref="P21" location="'Gráfico pernocta munic y cate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C2:F38"/>
  <sheetViews>
    <sheetView showGridLines="0" showRowColHeaders="0" showZeros="0" zoomScaleNormal="100" workbookViewId="0">
      <selection activeCell="B25" sqref="B25"/>
    </sheetView>
  </sheetViews>
  <sheetFormatPr baseColWidth="10" defaultRowHeight="15"/>
  <cols>
    <col min="1" max="1" width="15" customWidth="1"/>
    <col min="5" max="5" width="15.140625" customWidth="1"/>
  </cols>
  <sheetData>
    <row r="2" spans="3:6" ht="47.25" customHeight="1"/>
    <row r="3" spans="3:6" ht="30" customHeight="1">
      <c r="C3" s="73" t="s">
        <v>55</v>
      </c>
      <c r="D3" s="74"/>
      <c r="E3" s="74"/>
      <c r="F3" s="74"/>
    </row>
    <row r="4" spans="3:6" ht="17.25" customHeight="1">
      <c r="C4" s="75">
        <v>2009</v>
      </c>
      <c r="D4" s="76"/>
      <c r="E4" s="76"/>
      <c r="F4" s="76"/>
    </row>
    <row r="5" spans="3:6" ht="30" customHeight="1">
      <c r="C5" s="48"/>
      <c r="D5" s="77" t="s">
        <v>56</v>
      </c>
      <c r="E5" s="77" t="s">
        <v>35</v>
      </c>
      <c r="F5" s="77" t="s">
        <v>36</v>
      </c>
    </row>
    <row r="6" spans="3:6">
      <c r="C6" s="78" t="s">
        <v>57</v>
      </c>
      <c r="D6" s="79">
        <f>GETPIVOTDATA("dato",'[1]Evolución mensual tipología'!$B$5,"categoría","Hoteleros","mes",1)</f>
        <v>83242</v>
      </c>
      <c r="E6" s="79">
        <f>GETPIVOTDATA("dato",'[1]Evolución mensual tipología'!$B$5,"categoría","EXTRAHOTELEROS","mes",1)</f>
        <v>53102</v>
      </c>
      <c r="F6" s="79">
        <f>GETPIVOTDATA("dato",'[1]Evolución mensual tipología'!$B$5,"categoría","TOTAL","mes",1)</f>
        <v>136344</v>
      </c>
    </row>
    <row r="7" spans="3:6">
      <c r="C7" s="80" t="s">
        <v>58</v>
      </c>
      <c r="D7" s="52">
        <f>GETPIVOTDATA("dato",'[1]Evolución mensual tipología'!$B$5,"categoría","Hoteleros","mes",2)</f>
        <v>83781</v>
      </c>
      <c r="E7" s="52">
        <f>GETPIVOTDATA("dato",'[1]Evolución mensual tipología'!$B$5,"categoría","EXTRAHOTELEROS","mes",2)</f>
        <v>50011</v>
      </c>
      <c r="F7" s="52">
        <f>GETPIVOTDATA("dato",'[1]Evolución mensual tipología'!$B$5,"categoría","TOTAL","mes",2)</f>
        <v>133792</v>
      </c>
    </row>
    <row r="8" spans="3:6">
      <c r="C8" s="80" t="s">
        <v>59</v>
      </c>
      <c r="D8" s="52">
        <f>GETPIVOTDATA("dato",'[1]Evolución mensual tipología'!$B$5,"categoría","Hoteleros","mes",3)</f>
        <v>85131</v>
      </c>
      <c r="E8" s="52">
        <f>GETPIVOTDATA("dato",'[1]Evolución mensual tipología'!$B$5,"categoría","EXTRAHOTELEROS","mes",3)</f>
        <v>49940</v>
      </c>
      <c r="F8" s="52">
        <f>GETPIVOTDATA("dato",'[1]Evolución mensual tipología'!$B$5,"categoría","TOTAL","mes",3)</f>
        <v>135071</v>
      </c>
    </row>
    <row r="9" spans="3:6">
      <c r="C9" s="80" t="s">
        <v>60</v>
      </c>
      <c r="D9" s="52">
        <f>GETPIVOTDATA("dato",'[1]Evolución mensual tipología'!$B$5,"categoría","Hoteleros","mes",4)</f>
        <v>91144</v>
      </c>
      <c r="E9" s="52">
        <f>GETPIVOTDATA("dato",'[1]Evolución mensual tipología'!$B$5,"categoría","EXTRAHOTELEROS","mes",4)</f>
        <v>51883</v>
      </c>
      <c r="F9" s="52">
        <f>GETPIVOTDATA("dato",'[1]Evolución mensual tipología'!$B$5,"categoría","TOTAL","mes",4)</f>
        <v>143027</v>
      </c>
    </row>
    <row r="10" spans="3:6">
      <c r="C10" s="80" t="s">
        <v>61</v>
      </c>
      <c r="D10" s="52">
        <f>GETPIVOTDATA("dato",'[1]Evolución mensual tipología'!$B$5,"categoría","Hoteleros","mes",5)</f>
        <v>84335</v>
      </c>
      <c r="E10" s="52">
        <f>GETPIVOTDATA("dato",'[1]Evolución mensual tipología'!$B$5,"categoría","EXTRAHOTELEROS","mes",5)</f>
        <v>39550</v>
      </c>
      <c r="F10" s="52">
        <f>GETPIVOTDATA("dato",'[1]Evolución mensual tipología'!$B$5,"categoría","TOTAL","mes",5)</f>
        <v>123885</v>
      </c>
    </row>
    <row r="11" spans="3:6">
      <c r="C11" s="80" t="s">
        <v>62</v>
      </c>
      <c r="D11" s="52">
        <f>GETPIVOTDATA("dato",'[1]Evolución mensual tipología'!$B$5,"categoría","Hoteleros","mes",6)</f>
        <v>79842</v>
      </c>
      <c r="E11" s="52">
        <f>GETPIVOTDATA("dato",'[1]Evolución mensual tipología'!$B$5,"categoría","EXTRAHOTELEROS","mes",6)</f>
        <v>41545</v>
      </c>
      <c r="F11" s="52">
        <f>GETPIVOTDATA("dato",'[1]Evolución mensual tipología'!$B$5,"categoría","TOTAL","mes",6)</f>
        <v>121387</v>
      </c>
    </row>
    <row r="12" spans="3:6">
      <c r="C12" s="80" t="s">
        <v>63</v>
      </c>
      <c r="D12" s="52">
        <f>GETPIVOTDATA("dato",'[1]Evolución mensual tipología'!$B$5,"categoría","Hoteleros","mes",7)</f>
        <v>97923</v>
      </c>
      <c r="E12" s="52">
        <f>GETPIVOTDATA("dato",'[1]Evolución mensual tipología'!$B$5,"categoría","EXTRAHOTELEROS","mes",7)</f>
        <v>54409</v>
      </c>
      <c r="F12" s="52">
        <f>GETPIVOTDATA("dato",'[1]Evolución mensual tipología'!$B$5,"categoría","TOTAL","mes",7)</f>
        <v>152332</v>
      </c>
    </row>
    <row r="13" spans="3:6">
      <c r="C13" s="80" t="s">
        <v>64</v>
      </c>
      <c r="D13" s="52">
        <f>GETPIVOTDATA("dato",'[1]Evolución mensual tipología'!$B$5,"categoría","Hoteleros","mes",8)</f>
        <v>102995</v>
      </c>
      <c r="E13" s="52">
        <f>GETPIVOTDATA("dato",'[1]Evolución mensual tipología'!$B$5,"categoría","EXTRAHOTELEROS","mes",8)</f>
        <v>67265</v>
      </c>
      <c r="F13" s="52">
        <f>GETPIVOTDATA("dato",'[1]Evolución mensual tipología'!$B$5,"categoría","TOTAL","mes",8)</f>
        <v>170260</v>
      </c>
    </row>
    <row r="14" spans="3:6">
      <c r="C14" s="80" t="s">
        <v>65</v>
      </c>
      <c r="D14" s="52">
        <f>GETPIVOTDATA("dato",'[1]Evolución mensual tipología'!$B$5,"categoría","Hoteleros","mes",9)</f>
        <v>79462</v>
      </c>
      <c r="E14" s="52">
        <f>GETPIVOTDATA("dato",'[1]Evolución mensual tipología'!$B$5,"categoría","EXTRAHOTELEROS","mes",9)</f>
        <v>45133</v>
      </c>
      <c r="F14" s="52">
        <f>GETPIVOTDATA("dato",'[1]Evolución mensual tipología'!$B$5,"categoría","TOTAL","mes",9)</f>
        <v>124595</v>
      </c>
    </row>
    <row r="15" spans="3:6">
      <c r="C15" s="80" t="s">
        <v>66</v>
      </c>
      <c r="D15" s="52">
        <f>GETPIVOTDATA("dato",'[1]Evolución mensual tipología'!$B$5,"categoría","Hoteleros","mes",10)</f>
        <v>94014</v>
      </c>
      <c r="E15" s="52">
        <f>GETPIVOTDATA("dato",'[1]Evolución mensual tipología'!$B$5,"categoría","EXTRAHOTELEROS","mes",10)</f>
        <v>51344</v>
      </c>
      <c r="F15" s="52">
        <f>GETPIVOTDATA("dato",'[1]Evolución mensual tipología'!$B$5,"categoría","TOTAL","mes",10)</f>
        <v>145358</v>
      </c>
    </row>
    <row r="16" spans="3:6">
      <c r="C16" s="80" t="s">
        <v>67</v>
      </c>
      <c r="D16" s="52">
        <f>GETPIVOTDATA("dato",'[1]Evolución mensual tipología'!$B$5,"categoría","Hoteleros","mes",11)</f>
        <v>85501</v>
      </c>
      <c r="E16" s="52">
        <f>GETPIVOTDATA("dato",'[1]Evolución mensual tipología'!$B$5,"categoría","EXTRAHOTELEROS","mes",11)</f>
        <v>45406</v>
      </c>
      <c r="F16" s="52">
        <f>GETPIVOTDATA("dato",'[1]Evolución mensual tipología'!$B$5,"categoría","TOTAL","mes",11)</f>
        <v>130907</v>
      </c>
    </row>
    <row r="17" spans="3:6">
      <c r="C17" s="80" t="s">
        <v>68</v>
      </c>
      <c r="D17" s="52">
        <f>GETPIVOTDATA("dato",'[1]Evolución mensual tipología'!$B$5,"categoría","Hoteleros","mes",12)</f>
        <v>85070</v>
      </c>
      <c r="E17" s="52">
        <f>GETPIVOTDATA("dato",'[1]Evolución mensual tipología'!$B$5,"categoría","EXTRAHOTELEROS","mes",12)</f>
        <v>47003</v>
      </c>
      <c r="F17" s="52">
        <f>GETPIVOTDATA("dato",'[1]Evolución mensual tipología'!$B$5,"categoría","TOTAL","mes",12)</f>
        <v>132073</v>
      </c>
    </row>
    <row r="18" spans="3:6">
      <c r="C18" s="81" t="s">
        <v>69</v>
      </c>
      <c r="D18" s="82">
        <f>GETPIVOTDATA("dato",'[1]Evolución mensual tipología'!$B$5,"categoría","Hoteleros")</f>
        <v>1052440</v>
      </c>
      <c r="E18" s="82">
        <f>GETPIVOTDATA("dato",'[1]Evolución mensual tipología'!$B$5,"categoría","EXTRAHOTELEROS")</f>
        <v>596591</v>
      </c>
      <c r="F18" s="82">
        <f>GETPIVOTDATA("dato",'[1]Evolución mensual tipología'!$B$5,"categoría","TOTAL")</f>
        <v>1649031</v>
      </c>
    </row>
    <row r="19" spans="3:6" ht="23.25" customHeight="1">
      <c r="C19" s="83" t="s">
        <v>70</v>
      </c>
      <c r="D19" s="84"/>
      <c r="E19" s="84"/>
      <c r="F19" s="85"/>
    </row>
    <row r="22" spans="3:6" ht="26.25" customHeight="1">
      <c r="C22" s="73" t="s">
        <v>55</v>
      </c>
      <c r="D22" s="74"/>
      <c r="E22" s="74"/>
      <c r="F22" s="74"/>
    </row>
    <row r="23" spans="3:6">
      <c r="C23" s="75">
        <v>2010</v>
      </c>
      <c r="D23" s="76"/>
      <c r="E23" s="76"/>
      <c r="F23" s="76"/>
    </row>
    <row r="24" spans="3:6" ht="30">
      <c r="C24" s="48"/>
      <c r="D24" s="77" t="s">
        <v>56</v>
      </c>
      <c r="E24" s="77" t="s">
        <v>35</v>
      </c>
      <c r="F24" s="77" t="s">
        <v>36</v>
      </c>
    </row>
    <row r="25" spans="3:6">
      <c r="C25" s="78" t="s">
        <v>57</v>
      </c>
      <c r="D25" s="79">
        <f>IFERROR(GETPIVOTDATA("dato",'[1]Evolución mensual tipología'!$B$27,"categoría","Hoteleros","mes",1,"año",2010),"-")</f>
        <v>85215</v>
      </c>
      <c r="E25" s="79">
        <f>IFERROR(GETPIVOTDATA("dato",'[1]Evolución mensual tipología'!$B$27,"categoría","EXTRAHOTELEROS","mes",1,"año",2010),"-")</f>
        <v>46322</v>
      </c>
      <c r="F25" s="79">
        <f>IFERROR(GETPIVOTDATA("dato",'[1]Evolución mensual tipología'!$B$27,"categoría","TOTAL","mes",1,"año",2010),"-")</f>
        <v>131537</v>
      </c>
    </row>
    <row r="26" spans="3:6">
      <c r="C26" s="80" t="s">
        <v>58</v>
      </c>
      <c r="D26" s="52">
        <f>IFERROR(GETPIVOTDATA("dato",'[1]Evolución mensual tipología'!$B$27,"categoría","Hoteleros","mes",2,"año",2010),"-")</f>
        <v>82016</v>
      </c>
      <c r="E26" s="52">
        <f>IFERROR(GETPIVOTDATA("dato",'[1]Evolución mensual tipología'!$B$27,"categoría","EXTRAHOTELEROS","mes",2,"año",2010),"-")</f>
        <v>43403</v>
      </c>
      <c r="F26" s="52">
        <f>IFERROR(GETPIVOTDATA("dato",'[1]Evolución mensual tipología'!$B$27,"categoría","TOTAL","mes",2,"año",2010),"-")</f>
        <v>125419</v>
      </c>
    </row>
    <row r="27" spans="3:6">
      <c r="C27" s="80" t="s">
        <v>59</v>
      </c>
      <c r="D27" s="52">
        <f>IFERROR(GETPIVOTDATA("dato",'[1]Evolución mensual tipología'!$B$27,"categoría","Hoteleros","mes",3,"año",2010),"-")</f>
        <v>90580</v>
      </c>
      <c r="E27" s="52">
        <f>IFERROR(GETPIVOTDATA("dato",'[1]Evolución mensual tipología'!$B$27,"categoría","EXTRAHOTELEROS","mes",3,"año",2010),"-")</f>
        <v>49749</v>
      </c>
      <c r="F27" s="52">
        <f>IFERROR(GETPIVOTDATA("dato",'[1]Evolución mensual tipología'!$B$27,"categoría","TOTAL","mes",3,"año",2010),"-")</f>
        <v>140329</v>
      </c>
    </row>
    <row r="28" spans="3:6">
      <c r="C28" s="80" t="s">
        <v>60</v>
      </c>
      <c r="D28" s="52">
        <f>IFERROR(GETPIVOTDATA("dato",'[1]Evolución mensual tipología'!$B$27,"categoría","Hoteleros","mes",4,"año",2010),"-")</f>
        <v>102877</v>
      </c>
      <c r="E28" s="52">
        <f>IFERROR(GETPIVOTDATA("dato",'[1]Evolución mensual tipología'!$B$27,"categoría","EXTRAHOTELEROS","mes",4,"año",2010),"-")</f>
        <v>53734</v>
      </c>
      <c r="F28" s="52">
        <f>IFERROR(GETPIVOTDATA("dato",'[1]Evolución mensual tipología'!$B$27,"categoría","TOTAL","mes",4,"año",2010),"-")</f>
        <v>156611</v>
      </c>
    </row>
    <row r="29" spans="3:6">
      <c r="C29" s="80" t="s">
        <v>61</v>
      </c>
      <c r="D29" s="52">
        <f>IFERROR(GETPIVOTDATA("dato",'[1]Evolución mensual tipología'!$B$27,"categoría","Hoteleros","mes",5,"año",2010),"-")</f>
        <v>92640</v>
      </c>
      <c r="E29" s="52">
        <f>IFERROR(GETPIVOTDATA("dato",'[1]Evolución mensual tipología'!$B$27,"categoría","EXTRAHOTELEROS","mes",5,"año",2010),"-")</f>
        <v>39879</v>
      </c>
      <c r="F29" s="52">
        <f>IFERROR(GETPIVOTDATA("dato",'[1]Evolución mensual tipología'!$B$27,"categoría","TOTAL","mes",5,"año",2010),"-")</f>
        <v>132519</v>
      </c>
    </row>
    <row r="30" spans="3:6">
      <c r="C30" s="80" t="s">
        <v>62</v>
      </c>
      <c r="D30" s="52">
        <f>IFERROR(GETPIVOTDATA("dato",'[1]Evolución mensual tipología'!$B$27,"categoría","Hoteleros","mes",6,"año",2010),"-")</f>
        <v>86210</v>
      </c>
      <c r="E30" s="52">
        <f>IFERROR(GETPIVOTDATA("dato",'[1]Evolución mensual tipología'!$B$27,"categoría","EXTRAHOTELEROS","mes",6,"año",2010),"-")</f>
        <v>42687</v>
      </c>
      <c r="F30" s="52">
        <f>IFERROR(GETPIVOTDATA("dato",'[1]Evolución mensual tipología'!$B$27,"categoría","TOTAL","mes",6,"año",2010),"-")</f>
        <v>128897</v>
      </c>
    </row>
    <row r="31" spans="3:6">
      <c r="C31" s="80" t="s">
        <v>63</v>
      </c>
      <c r="D31" s="52">
        <f>IFERROR(GETPIVOTDATA("dato",'[1]Evolución mensual tipología'!$B$27,"categoría","Hoteleros","mes",7,"año",2010),"-")</f>
        <v>104585</v>
      </c>
      <c r="E31" s="52">
        <f>IFERROR(GETPIVOTDATA("dato",'[1]Evolución mensual tipología'!$B$27,"categoría","EXTRAHOTELEROS","mes",7,"año",2010),"-")</f>
        <v>58786</v>
      </c>
      <c r="F31" s="52">
        <f>IFERROR(GETPIVOTDATA("dato",'[1]Evolución mensual tipología'!$B$27,"categoría","TOTAL","mes",7,"año",2010),"-")</f>
        <v>163371</v>
      </c>
    </row>
    <row r="32" spans="3:6">
      <c r="C32" s="80" t="s">
        <v>64</v>
      </c>
      <c r="D32" s="52" t="str">
        <f>IFERROR(GETPIVOTDATA("dato",'[1]Evolución mensual tipología'!$B$27,"categoría","Hoteleros","mes",8,"año",2010),"-")</f>
        <v>-</v>
      </c>
      <c r="E32" s="52" t="str">
        <f>IFERROR(GETPIVOTDATA("dato",'[1]Evolución mensual tipología'!$B$27,"categoría","EXTRAHOTELEROS","mes",8,"año",2010),"-")</f>
        <v>-</v>
      </c>
      <c r="F32" s="52" t="str">
        <f>IFERROR(GETPIVOTDATA("dato",'[1]Evolución mensual tipología'!$B$27,"categoría","TOTAL","mes",8,"año",2010),"-")</f>
        <v>-</v>
      </c>
    </row>
    <row r="33" spans="3:6">
      <c r="C33" s="80" t="s">
        <v>65</v>
      </c>
      <c r="D33" s="52" t="str">
        <f>IFERROR(GETPIVOTDATA("dato",'[1]Evolución mensual tipología'!$B$27,"categoría","Hoteleros","mes",9,"año",2010),"-")</f>
        <v>-</v>
      </c>
      <c r="E33" s="52" t="str">
        <f>IFERROR(GETPIVOTDATA("dato",'[1]Evolución mensual tipología'!$B$27,"categoría","EXTRAHOTELEROS","mes",9,"año",2010),"-")</f>
        <v>-</v>
      </c>
      <c r="F33" s="52" t="str">
        <f>IFERROR(GETPIVOTDATA("dato",'[1]Evolución mensual tipología'!$B$27,"categoría","TOTAL","mes",9,"año",2010),"-")</f>
        <v>-</v>
      </c>
    </row>
    <row r="34" spans="3:6">
      <c r="C34" s="80" t="s">
        <v>66</v>
      </c>
      <c r="D34" s="52" t="str">
        <f>IFERROR(GETPIVOTDATA("dato",'[1]Evolución mensual tipología'!$B$27,"categoría","Hoteleros","mes",10,"año",2010),"-")</f>
        <v>-</v>
      </c>
      <c r="E34" s="52" t="str">
        <f>IFERROR(GETPIVOTDATA("dato",'[1]Evolución mensual tipología'!$B$27,"categoría","EXTRAHOTELEROS","mes",10,"año",2010),"-")</f>
        <v>-</v>
      </c>
      <c r="F34" s="52" t="str">
        <f>IFERROR(GETPIVOTDATA("dato",'[1]Evolución mensual tipología'!$B$27,"categoría","TOTAL","mes",10,"año",2010),"-")</f>
        <v>-</v>
      </c>
    </row>
    <row r="35" spans="3:6">
      <c r="C35" s="80" t="s">
        <v>67</v>
      </c>
      <c r="D35" s="52" t="str">
        <f>IFERROR(GETPIVOTDATA("dato",'[1]Evolución mensual tipología'!$B$27,"categoría","Hoteleros","mes",11,"año",2010),"-")</f>
        <v>-</v>
      </c>
      <c r="E35" s="52" t="str">
        <f>IFERROR(GETPIVOTDATA("dato",'[1]Evolución mensual tipología'!$B$27,"categoría","EXTRAHOTELEROS","mes",11,"año",2010),"-")</f>
        <v>-</v>
      </c>
      <c r="F35" s="52" t="str">
        <f>IFERROR(GETPIVOTDATA("dato",'[1]Evolución mensual tipología'!$B$27,"categoría","TOTAL","mes",11,"año",2010),"-")</f>
        <v>-</v>
      </c>
    </row>
    <row r="36" spans="3:6">
      <c r="C36" s="80" t="s">
        <v>68</v>
      </c>
      <c r="D36" s="52" t="str">
        <f>IFERROR(GETPIVOTDATA("dato",'[1]Evolución mensual tipología'!$B$27,"categoría","Hoteleros","mes",12,"año",2010),"-")</f>
        <v>-</v>
      </c>
      <c r="E36" s="52" t="str">
        <f>IFERROR(GETPIVOTDATA("dato",'[1]Evolución mensual tipología'!$B$27,"categoría","EXTRAHOTELEROS","mes",12,"año",2010),"-")</f>
        <v>-</v>
      </c>
      <c r="F36" s="52" t="str">
        <f>IFERROR(GETPIVOTDATA("dato",'[1]Evolución mensual tipología'!$B$27,"categoría","TOTAL","mes",12,"año",2010),"-")</f>
        <v>-</v>
      </c>
    </row>
    <row r="37" spans="3:6">
      <c r="C37" s="81" t="s">
        <v>69</v>
      </c>
      <c r="D37" s="82">
        <f>GETPIVOTDATA("dato",'[1]Evolución mensual tipología'!$B$27,"categoría","Hoteleros","año",2010)</f>
        <v>644123</v>
      </c>
      <c r="E37" s="82">
        <f>GETPIVOTDATA("dato",'[1]Evolución mensual tipología'!$B$27,"categoría","EXTRAHOTELEROS","año",2010)</f>
        <v>334560</v>
      </c>
      <c r="F37" s="82">
        <f>GETPIVOTDATA("dato",'[1]Evolución mensual tipología'!$B$27,"categoría","TOTAL","año",2010)</f>
        <v>978683</v>
      </c>
    </row>
    <row r="38" spans="3:6" ht="22.5" customHeight="1">
      <c r="C38" s="83" t="s">
        <v>70</v>
      </c>
      <c r="D38" s="84"/>
      <c r="E38" s="84"/>
      <c r="F38" s="85"/>
    </row>
  </sheetData>
  <mergeCells count="6">
    <mergeCell ref="C3:F3"/>
    <mergeCell ref="C4:F4"/>
    <mergeCell ref="C19:F19"/>
    <mergeCell ref="C22:F22"/>
    <mergeCell ref="C23:F23"/>
    <mergeCell ref="C38:F3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80.xml><?xml version="1.0" encoding="utf-8"?>
<worksheet xmlns="http://schemas.openxmlformats.org/spreadsheetml/2006/main" xmlns:r="http://schemas.openxmlformats.org/officeDocument/2006/relationships">
  <sheetPr codeName="Hoja28">
    <tabColor rgb="FF000099"/>
    <pageSetUpPr autoPageBreaks="0" fitToPage="1"/>
  </sheetPr>
  <dimension ref="B6:S44"/>
  <sheetViews>
    <sheetView showGridLines="0" showRowColHeaders="0" showOutlineSymbols="0" zoomScaleNormal="100" workbookViewId="0">
      <selection activeCell="B25" sqref="B25"/>
    </sheetView>
  </sheetViews>
  <sheetFormatPr baseColWidth="10" defaultRowHeight="12.75"/>
  <cols>
    <col min="1" max="1" width="1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60" t="s">
        <v>51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pernocta municipio y categ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81.xml><?xml version="1.0" encoding="utf-8"?>
<worksheet xmlns="http://schemas.openxmlformats.org/spreadsheetml/2006/main" xmlns:r="http://schemas.openxmlformats.org/officeDocument/2006/relationships">
  <sheetPr codeName="Hoja17">
    <tabColor rgb="FF000099"/>
    <pageSetUpPr autoPageBreaks="0" fitToPage="1"/>
  </sheetPr>
  <dimension ref="B6:L30"/>
  <sheetViews>
    <sheetView showGridLines="0" showRowColHeaders="0" showOutlineSymbols="0" zoomScaleNormal="100" workbookViewId="0">
      <selection activeCell="B25" sqref="B25"/>
    </sheetView>
  </sheetViews>
  <sheetFormatPr baseColWidth="10" defaultRowHeight="12.75"/>
  <cols>
    <col min="1" max="1" width="13.28515625" style="353" customWidth="1"/>
    <col min="2" max="2" width="30.85546875" style="353" customWidth="1"/>
    <col min="3" max="5" width="12.7109375" style="353" customWidth="1"/>
    <col min="6" max="6" width="10.7109375" style="353" customWidth="1"/>
    <col min="7" max="12" width="11.42578125" style="353"/>
    <col min="13" max="13" width="13.7109375" style="353" customWidth="1"/>
    <col min="14" max="256" width="11.42578125" style="353"/>
    <col min="257" max="257" width="13.28515625" style="353" customWidth="1"/>
    <col min="258" max="258" width="30.85546875" style="353" customWidth="1"/>
    <col min="259" max="261" width="12.7109375" style="353" customWidth="1"/>
    <col min="262" max="262" width="10.7109375" style="353" customWidth="1"/>
    <col min="263" max="268" width="11.42578125" style="353"/>
    <col min="269" max="269" width="13.7109375" style="353" customWidth="1"/>
    <col min="270" max="512" width="11.42578125" style="353"/>
    <col min="513" max="513" width="13.28515625" style="353" customWidth="1"/>
    <col min="514" max="514" width="30.85546875" style="353" customWidth="1"/>
    <col min="515" max="517" width="12.7109375" style="353" customWidth="1"/>
    <col min="518" max="518" width="10.7109375" style="353" customWidth="1"/>
    <col min="519" max="524" width="11.42578125" style="353"/>
    <col min="525" max="525" width="13.7109375" style="353" customWidth="1"/>
    <col min="526" max="768" width="11.42578125" style="353"/>
    <col min="769" max="769" width="13.28515625" style="353" customWidth="1"/>
    <col min="770" max="770" width="30.85546875" style="353" customWidth="1"/>
    <col min="771" max="773" width="12.7109375" style="353" customWidth="1"/>
    <col min="774" max="774" width="10.7109375" style="353" customWidth="1"/>
    <col min="775" max="780" width="11.42578125" style="353"/>
    <col min="781" max="781" width="13.7109375" style="353" customWidth="1"/>
    <col min="782" max="1024" width="11.42578125" style="353"/>
    <col min="1025" max="1025" width="13.28515625" style="353" customWidth="1"/>
    <col min="1026" max="1026" width="30.85546875" style="353" customWidth="1"/>
    <col min="1027" max="1029" width="12.7109375" style="353" customWidth="1"/>
    <col min="1030" max="1030" width="10.7109375" style="353" customWidth="1"/>
    <col min="1031" max="1036" width="11.42578125" style="353"/>
    <col min="1037" max="1037" width="13.7109375" style="353" customWidth="1"/>
    <col min="1038" max="1280" width="11.42578125" style="353"/>
    <col min="1281" max="1281" width="13.28515625" style="353" customWidth="1"/>
    <col min="1282" max="1282" width="30.85546875" style="353" customWidth="1"/>
    <col min="1283" max="1285" width="12.7109375" style="353" customWidth="1"/>
    <col min="1286" max="1286" width="10.7109375" style="353" customWidth="1"/>
    <col min="1287" max="1292" width="11.42578125" style="353"/>
    <col min="1293" max="1293" width="13.7109375" style="353" customWidth="1"/>
    <col min="1294" max="1536" width="11.42578125" style="353"/>
    <col min="1537" max="1537" width="13.28515625" style="353" customWidth="1"/>
    <col min="1538" max="1538" width="30.85546875" style="353" customWidth="1"/>
    <col min="1539" max="1541" width="12.7109375" style="353" customWidth="1"/>
    <col min="1542" max="1542" width="10.7109375" style="353" customWidth="1"/>
    <col min="1543" max="1548" width="11.42578125" style="353"/>
    <col min="1549" max="1549" width="13.7109375" style="353" customWidth="1"/>
    <col min="1550" max="1792" width="11.42578125" style="353"/>
    <col min="1793" max="1793" width="13.28515625" style="353" customWidth="1"/>
    <col min="1794" max="1794" width="30.85546875" style="353" customWidth="1"/>
    <col min="1795" max="1797" width="12.7109375" style="353" customWidth="1"/>
    <col min="1798" max="1798" width="10.7109375" style="353" customWidth="1"/>
    <col min="1799" max="1804" width="11.42578125" style="353"/>
    <col min="1805" max="1805" width="13.7109375" style="353" customWidth="1"/>
    <col min="1806" max="2048" width="11.42578125" style="353"/>
    <col min="2049" max="2049" width="13.28515625" style="353" customWidth="1"/>
    <col min="2050" max="2050" width="30.85546875" style="353" customWidth="1"/>
    <col min="2051" max="2053" width="12.7109375" style="353" customWidth="1"/>
    <col min="2054" max="2054" width="10.7109375" style="353" customWidth="1"/>
    <col min="2055" max="2060" width="11.42578125" style="353"/>
    <col min="2061" max="2061" width="13.7109375" style="353" customWidth="1"/>
    <col min="2062" max="2304" width="11.42578125" style="353"/>
    <col min="2305" max="2305" width="13.28515625" style="353" customWidth="1"/>
    <col min="2306" max="2306" width="30.85546875" style="353" customWidth="1"/>
    <col min="2307" max="2309" width="12.7109375" style="353" customWidth="1"/>
    <col min="2310" max="2310" width="10.7109375" style="353" customWidth="1"/>
    <col min="2311" max="2316" width="11.42578125" style="353"/>
    <col min="2317" max="2317" width="13.7109375" style="353" customWidth="1"/>
    <col min="2318" max="2560" width="11.42578125" style="353"/>
    <col min="2561" max="2561" width="13.28515625" style="353" customWidth="1"/>
    <col min="2562" max="2562" width="30.85546875" style="353" customWidth="1"/>
    <col min="2563" max="2565" width="12.7109375" style="353" customWidth="1"/>
    <col min="2566" max="2566" width="10.7109375" style="353" customWidth="1"/>
    <col min="2567" max="2572" width="11.42578125" style="353"/>
    <col min="2573" max="2573" width="13.7109375" style="353" customWidth="1"/>
    <col min="2574" max="2816" width="11.42578125" style="353"/>
    <col min="2817" max="2817" width="13.28515625" style="353" customWidth="1"/>
    <col min="2818" max="2818" width="30.85546875" style="353" customWidth="1"/>
    <col min="2819" max="2821" width="12.7109375" style="353" customWidth="1"/>
    <col min="2822" max="2822" width="10.7109375" style="353" customWidth="1"/>
    <col min="2823" max="2828" width="11.42578125" style="353"/>
    <col min="2829" max="2829" width="13.7109375" style="353" customWidth="1"/>
    <col min="2830" max="3072" width="11.42578125" style="353"/>
    <col min="3073" max="3073" width="13.28515625" style="353" customWidth="1"/>
    <col min="3074" max="3074" width="30.85546875" style="353" customWidth="1"/>
    <col min="3075" max="3077" width="12.7109375" style="353" customWidth="1"/>
    <col min="3078" max="3078" width="10.7109375" style="353" customWidth="1"/>
    <col min="3079" max="3084" width="11.42578125" style="353"/>
    <col min="3085" max="3085" width="13.7109375" style="353" customWidth="1"/>
    <col min="3086" max="3328" width="11.42578125" style="353"/>
    <col min="3329" max="3329" width="13.28515625" style="353" customWidth="1"/>
    <col min="3330" max="3330" width="30.85546875" style="353" customWidth="1"/>
    <col min="3331" max="3333" width="12.7109375" style="353" customWidth="1"/>
    <col min="3334" max="3334" width="10.7109375" style="353" customWidth="1"/>
    <col min="3335" max="3340" width="11.42578125" style="353"/>
    <col min="3341" max="3341" width="13.7109375" style="353" customWidth="1"/>
    <col min="3342" max="3584" width="11.42578125" style="353"/>
    <col min="3585" max="3585" width="13.28515625" style="353" customWidth="1"/>
    <col min="3586" max="3586" width="30.85546875" style="353" customWidth="1"/>
    <col min="3587" max="3589" width="12.7109375" style="353" customWidth="1"/>
    <col min="3590" max="3590" width="10.7109375" style="353" customWidth="1"/>
    <col min="3591" max="3596" width="11.42578125" style="353"/>
    <col min="3597" max="3597" width="13.7109375" style="353" customWidth="1"/>
    <col min="3598" max="3840" width="11.42578125" style="353"/>
    <col min="3841" max="3841" width="13.28515625" style="353" customWidth="1"/>
    <col min="3842" max="3842" width="30.85546875" style="353" customWidth="1"/>
    <col min="3843" max="3845" width="12.7109375" style="353" customWidth="1"/>
    <col min="3846" max="3846" width="10.7109375" style="353" customWidth="1"/>
    <col min="3847" max="3852" width="11.42578125" style="353"/>
    <col min="3853" max="3853" width="13.7109375" style="353" customWidth="1"/>
    <col min="3854" max="4096" width="11.42578125" style="353"/>
    <col min="4097" max="4097" width="13.28515625" style="353" customWidth="1"/>
    <col min="4098" max="4098" width="30.85546875" style="353" customWidth="1"/>
    <col min="4099" max="4101" width="12.7109375" style="353" customWidth="1"/>
    <col min="4102" max="4102" width="10.7109375" style="353" customWidth="1"/>
    <col min="4103" max="4108" width="11.42578125" style="353"/>
    <col min="4109" max="4109" width="13.7109375" style="353" customWidth="1"/>
    <col min="4110" max="4352" width="11.42578125" style="353"/>
    <col min="4353" max="4353" width="13.28515625" style="353" customWidth="1"/>
    <col min="4354" max="4354" width="30.85546875" style="353" customWidth="1"/>
    <col min="4355" max="4357" width="12.7109375" style="353" customWidth="1"/>
    <col min="4358" max="4358" width="10.7109375" style="353" customWidth="1"/>
    <col min="4359" max="4364" width="11.42578125" style="353"/>
    <col min="4365" max="4365" width="13.7109375" style="353" customWidth="1"/>
    <col min="4366" max="4608" width="11.42578125" style="353"/>
    <col min="4609" max="4609" width="13.28515625" style="353" customWidth="1"/>
    <col min="4610" max="4610" width="30.85546875" style="353" customWidth="1"/>
    <col min="4611" max="4613" width="12.7109375" style="353" customWidth="1"/>
    <col min="4614" max="4614" width="10.7109375" style="353" customWidth="1"/>
    <col min="4615" max="4620" width="11.42578125" style="353"/>
    <col min="4621" max="4621" width="13.7109375" style="353" customWidth="1"/>
    <col min="4622" max="4864" width="11.42578125" style="353"/>
    <col min="4865" max="4865" width="13.28515625" style="353" customWidth="1"/>
    <col min="4866" max="4866" width="30.85546875" style="353" customWidth="1"/>
    <col min="4867" max="4869" width="12.7109375" style="353" customWidth="1"/>
    <col min="4870" max="4870" width="10.7109375" style="353" customWidth="1"/>
    <col min="4871" max="4876" width="11.42578125" style="353"/>
    <col min="4877" max="4877" width="13.7109375" style="353" customWidth="1"/>
    <col min="4878" max="5120" width="11.42578125" style="353"/>
    <col min="5121" max="5121" width="13.28515625" style="353" customWidth="1"/>
    <col min="5122" max="5122" width="30.85546875" style="353" customWidth="1"/>
    <col min="5123" max="5125" width="12.7109375" style="353" customWidth="1"/>
    <col min="5126" max="5126" width="10.7109375" style="353" customWidth="1"/>
    <col min="5127" max="5132" width="11.42578125" style="353"/>
    <col min="5133" max="5133" width="13.7109375" style="353" customWidth="1"/>
    <col min="5134" max="5376" width="11.42578125" style="353"/>
    <col min="5377" max="5377" width="13.28515625" style="353" customWidth="1"/>
    <col min="5378" max="5378" width="30.85546875" style="353" customWidth="1"/>
    <col min="5379" max="5381" width="12.7109375" style="353" customWidth="1"/>
    <col min="5382" max="5382" width="10.7109375" style="353" customWidth="1"/>
    <col min="5383" max="5388" width="11.42578125" style="353"/>
    <col min="5389" max="5389" width="13.7109375" style="353" customWidth="1"/>
    <col min="5390" max="5632" width="11.42578125" style="353"/>
    <col min="5633" max="5633" width="13.28515625" style="353" customWidth="1"/>
    <col min="5634" max="5634" width="30.85546875" style="353" customWidth="1"/>
    <col min="5635" max="5637" width="12.7109375" style="353" customWidth="1"/>
    <col min="5638" max="5638" width="10.7109375" style="353" customWidth="1"/>
    <col min="5639" max="5644" width="11.42578125" style="353"/>
    <col min="5645" max="5645" width="13.7109375" style="353" customWidth="1"/>
    <col min="5646" max="5888" width="11.42578125" style="353"/>
    <col min="5889" max="5889" width="13.28515625" style="353" customWidth="1"/>
    <col min="5890" max="5890" width="30.85546875" style="353" customWidth="1"/>
    <col min="5891" max="5893" width="12.7109375" style="353" customWidth="1"/>
    <col min="5894" max="5894" width="10.7109375" style="353" customWidth="1"/>
    <col min="5895" max="5900" width="11.42578125" style="353"/>
    <col min="5901" max="5901" width="13.7109375" style="353" customWidth="1"/>
    <col min="5902" max="6144" width="11.42578125" style="353"/>
    <col min="6145" max="6145" width="13.28515625" style="353" customWidth="1"/>
    <col min="6146" max="6146" width="30.85546875" style="353" customWidth="1"/>
    <col min="6147" max="6149" width="12.7109375" style="353" customWidth="1"/>
    <col min="6150" max="6150" width="10.7109375" style="353" customWidth="1"/>
    <col min="6151" max="6156" width="11.42578125" style="353"/>
    <col min="6157" max="6157" width="13.7109375" style="353" customWidth="1"/>
    <col min="6158" max="6400" width="11.42578125" style="353"/>
    <col min="6401" max="6401" width="13.28515625" style="353" customWidth="1"/>
    <col min="6402" max="6402" width="30.85546875" style="353" customWidth="1"/>
    <col min="6403" max="6405" width="12.7109375" style="353" customWidth="1"/>
    <col min="6406" max="6406" width="10.7109375" style="353" customWidth="1"/>
    <col min="6407" max="6412" width="11.42578125" style="353"/>
    <col min="6413" max="6413" width="13.7109375" style="353" customWidth="1"/>
    <col min="6414" max="6656" width="11.42578125" style="353"/>
    <col min="6657" max="6657" width="13.28515625" style="353" customWidth="1"/>
    <col min="6658" max="6658" width="30.85546875" style="353" customWidth="1"/>
    <col min="6659" max="6661" width="12.7109375" style="353" customWidth="1"/>
    <col min="6662" max="6662" width="10.7109375" style="353" customWidth="1"/>
    <col min="6663" max="6668" width="11.42578125" style="353"/>
    <col min="6669" max="6669" width="13.7109375" style="353" customWidth="1"/>
    <col min="6670" max="6912" width="11.42578125" style="353"/>
    <col min="6913" max="6913" width="13.28515625" style="353" customWidth="1"/>
    <col min="6914" max="6914" width="30.85546875" style="353" customWidth="1"/>
    <col min="6915" max="6917" width="12.7109375" style="353" customWidth="1"/>
    <col min="6918" max="6918" width="10.7109375" style="353" customWidth="1"/>
    <col min="6919" max="6924" width="11.42578125" style="353"/>
    <col min="6925" max="6925" width="13.7109375" style="353" customWidth="1"/>
    <col min="6926" max="7168" width="11.42578125" style="353"/>
    <col min="7169" max="7169" width="13.28515625" style="353" customWidth="1"/>
    <col min="7170" max="7170" width="30.85546875" style="353" customWidth="1"/>
    <col min="7171" max="7173" width="12.7109375" style="353" customWidth="1"/>
    <col min="7174" max="7174" width="10.7109375" style="353" customWidth="1"/>
    <col min="7175" max="7180" width="11.42578125" style="353"/>
    <col min="7181" max="7181" width="13.7109375" style="353" customWidth="1"/>
    <col min="7182" max="7424" width="11.42578125" style="353"/>
    <col min="7425" max="7425" width="13.28515625" style="353" customWidth="1"/>
    <col min="7426" max="7426" width="30.85546875" style="353" customWidth="1"/>
    <col min="7427" max="7429" width="12.7109375" style="353" customWidth="1"/>
    <col min="7430" max="7430" width="10.7109375" style="353" customWidth="1"/>
    <col min="7431" max="7436" width="11.42578125" style="353"/>
    <col min="7437" max="7437" width="13.7109375" style="353" customWidth="1"/>
    <col min="7438" max="7680" width="11.42578125" style="353"/>
    <col min="7681" max="7681" width="13.28515625" style="353" customWidth="1"/>
    <col min="7682" max="7682" width="30.85546875" style="353" customWidth="1"/>
    <col min="7683" max="7685" width="12.7109375" style="353" customWidth="1"/>
    <col min="7686" max="7686" width="10.7109375" style="353" customWidth="1"/>
    <col min="7687" max="7692" width="11.42578125" style="353"/>
    <col min="7693" max="7693" width="13.7109375" style="353" customWidth="1"/>
    <col min="7694" max="7936" width="11.42578125" style="353"/>
    <col min="7937" max="7937" width="13.28515625" style="353" customWidth="1"/>
    <col min="7938" max="7938" width="30.85546875" style="353" customWidth="1"/>
    <col min="7939" max="7941" width="12.7109375" style="353" customWidth="1"/>
    <col min="7942" max="7942" width="10.7109375" style="353" customWidth="1"/>
    <col min="7943" max="7948" width="11.42578125" style="353"/>
    <col min="7949" max="7949" width="13.7109375" style="353" customWidth="1"/>
    <col min="7950" max="8192" width="11.42578125" style="353"/>
    <col min="8193" max="8193" width="13.28515625" style="353" customWidth="1"/>
    <col min="8194" max="8194" width="30.85546875" style="353" customWidth="1"/>
    <col min="8195" max="8197" width="12.7109375" style="353" customWidth="1"/>
    <col min="8198" max="8198" width="10.7109375" style="353" customWidth="1"/>
    <col min="8199" max="8204" width="11.42578125" style="353"/>
    <col min="8205" max="8205" width="13.7109375" style="353" customWidth="1"/>
    <col min="8206" max="8448" width="11.42578125" style="353"/>
    <col min="8449" max="8449" width="13.28515625" style="353" customWidth="1"/>
    <col min="8450" max="8450" width="30.85546875" style="353" customWidth="1"/>
    <col min="8451" max="8453" width="12.7109375" style="353" customWidth="1"/>
    <col min="8454" max="8454" width="10.7109375" style="353" customWidth="1"/>
    <col min="8455" max="8460" width="11.42578125" style="353"/>
    <col min="8461" max="8461" width="13.7109375" style="353" customWidth="1"/>
    <col min="8462" max="8704" width="11.42578125" style="353"/>
    <col min="8705" max="8705" width="13.28515625" style="353" customWidth="1"/>
    <col min="8706" max="8706" width="30.85546875" style="353" customWidth="1"/>
    <col min="8707" max="8709" width="12.7109375" style="353" customWidth="1"/>
    <col min="8710" max="8710" width="10.7109375" style="353" customWidth="1"/>
    <col min="8711" max="8716" width="11.42578125" style="353"/>
    <col min="8717" max="8717" width="13.7109375" style="353" customWidth="1"/>
    <col min="8718" max="8960" width="11.42578125" style="353"/>
    <col min="8961" max="8961" width="13.28515625" style="353" customWidth="1"/>
    <col min="8962" max="8962" width="30.85546875" style="353" customWidth="1"/>
    <col min="8963" max="8965" width="12.7109375" style="353" customWidth="1"/>
    <col min="8966" max="8966" width="10.7109375" style="353" customWidth="1"/>
    <col min="8967" max="8972" width="11.42578125" style="353"/>
    <col min="8973" max="8973" width="13.7109375" style="353" customWidth="1"/>
    <col min="8974" max="9216" width="11.42578125" style="353"/>
    <col min="9217" max="9217" width="13.28515625" style="353" customWidth="1"/>
    <col min="9218" max="9218" width="30.85546875" style="353" customWidth="1"/>
    <col min="9219" max="9221" width="12.7109375" style="353" customWidth="1"/>
    <col min="9222" max="9222" width="10.7109375" style="353" customWidth="1"/>
    <col min="9223" max="9228" width="11.42578125" style="353"/>
    <col min="9229" max="9229" width="13.7109375" style="353" customWidth="1"/>
    <col min="9230" max="9472" width="11.42578125" style="353"/>
    <col min="9473" max="9473" width="13.28515625" style="353" customWidth="1"/>
    <col min="9474" max="9474" width="30.85546875" style="353" customWidth="1"/>
    <col min="9475" max="9477" width="12.7109375" style="353" customWidth="1"/>
    <col min="9478" max="9478" width="10.7109375" style="353" customWidth="1"/>
    <col min="9479" max="9484" width="11.42578125" style="353"/>
    <col min="9485" max="9485" width="13.7109375" style="353" customWidth="1"/>
    <col min="9486" max="9728" width="11.42578125" style="353"/>
    <col min="9729" max="9729" width="13.28515625" style="353" customWidth="1"/>
    <col min="9730" max="9730" width="30.85546875" style="353" customWidth="1"/>
    <col min="9731" max="9733" width="12.7109375" style="353" customWidth="1"/>
    <col min="9734" max="9734" width="10.7109375" style="353" customWidth="1"/>
    <col min="9735" max="9740" width="11.42578125" style="353"/>
    <col min="9741" max="9741" width="13.7109375" style="353" customWidth="1"/>
    <col min="9742" max="9984" width="11.42578125" style="353"/>
    <col min="9985" max="9985" width="13.28515625" style="353" customWidth="1"/>
    <col min="9986" max="9986" width="30.85546875" style="353" customWidth="1"/>
    <col min="9987" max="9989" width="12.7109375" style="353" customWidth="1"/>
    <col min="9990" max="9990" width="10.7109375" style="353" customWidth="1"/>
    <col min="9991" max="9996" width="11.42578125" style="353"/>
    <col min="9997" max="9997" width="13.7109375" style="353" customWidth="1"/>
    <col min="9998" max="10240" width="11.42578125" style="353"/>
    <col min="10241" max="10241" width="13.28515625" style="353" customWidth="1"/>
    <col min="10242" max="10242" width="30.85546875" style="353" customWidth="1"/>
    <col min="10243" max="10245" width="12.7109375" style="353" customWidth="1"/>
    <col min="10246" max="10246" width="10.7109375" style="353" customWidth="1"/>
    <col min="10247" max="10252" width="11.42578125" style="353"/>
    <col min="10253" max="10253" width="13.7109375" style="353" customWidth="1"/>
    <col min="10254" max="10496" width="11.42578125" style="353"/>
    <col min="10497" max="10497" width="13.28515625" style="353" customWidth="1"/>
    <col min="10498" max="10498" width="30.85546875" style="353" customWidth="1"/>
    <col min="10499" max="10501" width="12.7109375" style="353" customWidth="1"/>
    <col min="10502" max="10502" width="10.7109375" style="353" customWidth="1"/>
    <col min="10503" max="10508" width="11.42578125" style="353"/>
    <col min="10509" max="10509" width="13.7109375" style="353" customWidth="1"/>
    <col min="10510" max="10752" width="11.42578125" style="353"/>
    <col min="10753" max="10753" width="13.28515625" style="353" customWidth="1"/>
    <col min="10754" max="10754" width="30.85546875" style="353" customWidth="1"/>
    <col min="10755" max="10757" width="12.7109375" style="353" customWidth="1"/>
    <col min="10758" max="10758" width="10.7109375" style="353" customWidth="1"/>
    <col min="10759" max="10764" width="11.42578125" style="353"/>
    <col min="10765" max="10765" width="13.7109375" style="353" customWidth="1"/>
    <col min="10766" max="11008" width="11.42578125" style="353"/>
    <col min="11009" max="11009" width="13.28515625" style="353" customWidth="1"/>
    <col min="11010" max="11010" width="30.85546875" style="353" customWidth="1"/>
    <col min="11011" max="11013" width="12.7109375" style="353" customWidth="1"/>
    <col min="11014" max="11014" width="10.7109375" style="353" customWidth="1"/>
    <col min="11015" max="11020" width="11.42578125" style="353"/>
    <col min="11021" max="11021" width="13.7109375" style="353" customWidth="1"/>
    <col min="11022" max="11264" width="11.42578125" style="353"/>
    <col min="11265" max="11265" width="13.28515625" style="353" customWidth="1"/>
    <col min="11266" max="11266" width="30.85546875" style="353" customWidth="1"/>
    <col min="11267" max="11269" width="12.7109375" style="353" customWidth="1"/>
    <col min="11270" max="11270" width="10.7109375" style="353" customWidth="1"/>
    <col min="11271" max="11276" width="11.42578125" style="353"/>
    <col min="11277" max="11277" width="13.7109375" style="353" customWidth="1"/>
    <col min="11278" max="11520" width="11.42578125" style="353"/>
    <col min="11521" max="11521" width="13.28515625" style="353" customWidth="1"/>
    <col min="11522" max="11522" width="30.85546875" style="353" customWidth="1"/>
    <col min="11523" max="11525" width="12.7109375" style="353" customWidth="1"/>
    <col min="11526" max="11526" width="10.7109375" style="353" customWidth="1"/>
    <col min="11527" max="11532" width="11.42578125" style="353"/>
    <col min="11533" max="11533" width="13.7109375" style="353" customWidth="1"/>
    <col min="11534" max="11776" width="11.42578125" style="353"/>
    <col min="11777" max="11777" width="13.28515625" style="353" customWidth="1"/>
    <col min="11778" max="11778" width="30.85546875" style="353" customWidth="1"/>
    <col min="11779" max="11781" width="12.7109375" style="353" customWidth="1"/>
    <col min="11782" max="11782" width="10.7109375" style="353" customWidth="1"/>
    <col min="11783" max="11788" width="11.42578125" style="353"/>
    <col min="11789" max="11789" width="13.7109375" style="353" customWidth="1"/>
    <col min="11790" max="12032" width="11.42578125" style="353"/>
    <col min="12033" max="12033" width="13.28515625" style="353" customWidth="1"/>
    <col min="12034" max="12034" width="30.85546875" style="353" customWidth="1"/>
    <col min="12035" max="12037" width="12.7109375" style="353" customWidth="1"/>
    <col min="12038" max="12038" width="10.7109375" style="353" customWidth="1"/>
    <col min="12039" max="12044" width="11.42578125" style="353"/>
    <col min="12045" max="12045" width="13.7109375" style="353" customWidth="1"/>
    <col min="12046" max="12288" width="11.42578125" style="353"/>
    <col min="12289" max="12289" width="13.28515625" style="353" customWidth="1"/>
    <col min="12290" max="12290" width="30.85546875" style="353" customWidth="1"/>
    <col min="12291" max="12293" width="12.7109375" style="353" customWidth="1"/>
    <col min="12294" max="12294" width="10.7109375" style="353" customWidth="1"/>
    <col min="12295" max="12300" width="11.42578125" style="353"/>
    <col min="12301" max="12301" width="13.7109375" style="353" customWidth="1"/>
    <col min="12302" max="12544" width="11.42578125" style="353"/>
    <col min="12545" max="12545" width="13.28515625" style="353" customWidth="1"/>
    <col min="12546" max="12546" width="30.85546875" style="353" customWidth="1"/>
    <col min="12547" max="12549" width="12.7109375" style="353" customWidth="1"/>
    <col min="12550" max="12550" width="10.7109375" style="353" customWidth="1"/>
    <col min="12551" max="12556" width="11.42578125" style="353"/>
    <col min="12557" max="12557" width="13.7109375" style="353" customWidth="1"/>
    <col min="12558" max="12800" width="11.42578125" style="353"/>
    <col min="12801" max="12801" width="13.28515625" style="353" customWidth="1"/>
    <col min="12802" max="12802" width="30.85546875" style="353" customWidth="1"/>
    <col min="12803" max="12805" width="12.7109375" style="353" customWidth="1"/>
    <col min="12806" max="12806" width="10.7109375" style="353" customWidth="1"/>
    <col min="12807" max="12812" width="11.42578125" style="353"/>
    <col min="12813" max="12813" width="13.7109375" style="353" customWidth="1"/>
    <col min="12814" max="13056" width="11.42578125" style="353"/>
    <col min="13057" max="13057" width="13.28515625" style="353" customWidth="1"/>
    <col min="13058" max="13058" width="30.85546875" style="353" customWidth="1"/>
    <col min="13059" max="13061" width="12.7109375" style="353" customWidth="1"/>
    <col min="13062" max="13062" width="10.7109375" style="353" customWidth="1"/>
    <col min="13063" max="13068" width="11.42578125" style="353"/>
    <col min="13069" max="13069" width="13.7109375" style="353" customWidth="1"/>
    <col min="13070" max="13312" width="11.42578125" style="353"/>
    <col min="13313" max="13313" width="13.28515625" style="353" customWidth="1"/>
    <col min="13314" max="13314" width="30.85546875" style="353" customWidth="1"/>
    <col min="13315" max="13317" width="12.7109375" style="353" customWidth="1"/>
    <col min="13318" max="13318" width="10.7109375" style="353" customWidth="1"/>
    <col min="13319" max="13324" width="11.42578125" style="353"/>
    <col min="13325" max="13325" width="13.7109375" style="353" customWidth="1"/>
    <col min="13326" max="13568" width="11.42578125" style="353"/>
    <col min="13569" max="13569" width="13.28515625" style="353" customWidth="1"/>
    <col min="13570" max="13570" width="30.85546875" style="353" customWidth="1"/>
    <col min="13571" max="13573" width="12.7109375" style="353" customWidth="1"/>
    <col min="13574" max="13574" width="10.7109375" style="353" customWidth="1"/>
    <col min="13575" max="13580" width="11.42578125" style="353"/>
    <col min="13581" max="13581" width="13.7109375" style="353" customWidth="1"/>
    <col min="13582" max="13824" width="11.42578125" style="353"/>
    <col min="13825" max="13825" width="13.28515625" style="353" customWidth="1"/>
    <col min="13826" max="13826" width="30.85546875" style="353" customWidth="1"/>
    <col min="13827" max="13829" width="12.7109375" style="353" customWidth="1"/>
    <col min="13830" max="13830" width="10.7109375" style="353" customWidth="1"/>
    <col min="13831" max="13836" width="11.42578125" style="353"/>
    <col min="13837" max="13837" width="13.7109375" style="353" customWidth="1"/>
    <col min="13838" max="14080" width="11.42578125" style="353"/>
    <col min="14081" max="14081" width="13.28515625" style="353" customWidth="1"/>
    <col min="14082" max="14082" width="30.85546875" style="353" customWidth="1"/>
    <col min="14083" max="14085" width="12.7109375" style="353" customWidth="1"/>
    <col min="14086" max="14086" width="10.7109375" style="353" customWidth="1"/>
    <col min="14087" max="14092" width="11.42578125" style="353"/>
    <col min="14093" max="14093" width="13.7109375" style="353" customWidth="1"/>
    <col min="14094" max="14336" width="11.42578125" style="353"/>
    <col min="14337" max="14337" width="13.28515625" style="353" customWidth="1"/>
    <col min="14338" max="14338" width="30.85546875" style="353" customWidth="1"/>
    <col min="14339" max="14341" width="12.7109375" style="353" customWidth="1"/>
    <col min="14342" max="14342" width="10.7109375" style="353" customWidth="1"/>
    <col min="14343" max="14348" width="11.42578125" style="353"/>
    <col min="14349" max="14349" width="13.7109375" style="353" customWidth="1"/>
    <col min="14350" max="14592" width="11.42578125" style="353"/>
    <col min="14593" max="14593" width="13.28515625" style="353" customWidth="1"/>
    <col min="14594" max="14594" width="30.85546875" style="353" customWidth="1"/>
    <col min="14595" max="14597" width="12.7109375" style="353" customWidth="1"/>
    <col min="14598" max="14598" width="10.7109375" style="353" customWidth="1"/>
    <col min="14599" max="14604" width="11.42578125" style="353"/>
    <col min="14605" max="14605" width="13.7109375" style="353" customWidth="1"/>
    <col min="14606" max="14848" width="11.42578125" style="353"/>
    <col min="14849" max="14849" width="13.28515625" style="353" customWidth="1"/>
    <col min="14850" max="14850" width="30.85546875" style="353" customWidth="1"/>
    <col min="14851" max="14853" width="12.7109375" style="353" customWidth="1"/>
    <col min="14854" max="14854" width="10.7109375" style="353" customWidth="1"/>
    <col min="14855" max="14860" width="11.42578125" style="353"/>
    <col min="14861" max="14861" width="13.7109375" style="353" customWidth="1"/>
    <col min="14862" max="15104" width="11.42578125" style="353"/>
    <col min="15105" max="15105" width="13.28515625" style="353" customWidth="1"/>
    <col min="15106" max="15106" width="30.85546875" style="353" customWidth="1"/>
    <col min="15107" max="15109" width="12.7109375" style="353" customWidth="1"/>
    <col min="15110" max="15110" width="10.7109375" style="353" customWidth="1"/>
    <col min="15111" max="15116" width="11.42578125" style="353"/>
    <col min="15117" max="15117" width="13.7109375" style="353" customWidth="1"/>
    <col min="15118" max="15360" width="11.42578125" style="353"/>
    <col min="15361" max="15361" width="13.28515625" style="353" customWidth="1"/>
    <col min="15362" max="15362" width="30.85546875" style="353" customWidth="1"/>
    <col min="15363" max="15365" width="12.7109375" style="353" customWidth="1"/>
    <col min="15366" max="15366" width="10.7109375" style="353" customWidth="1"/>
    <col min="15367" max="15372" width="11.42578125" style="353"/>
    <col min="15373" max="15373" width="13.7109375" style="353" customWidth="1"/>
    <col min="15374" max="15616" width="11.42578125" style="353"/>
    <col min="15617" max="15617" width="13.28515625" style="353" customWidth="1"/>
    <col min="15618" max="15618" width="30.85546875" style="353" customWidth="1"/>
    <col min="15619" max="15621" width="12.7109375" style="353" customWidth="1"/>
    <col min="15622" max="15622" width="10.7109375" style="353" customWidth="1"/>
    <col min="15623" max="15628" width="11.42578125" style="353"/>
    <col min="15629" max="15629" width="13.7109375" style="353" customWidth="1"/>
    <col min="15630" max="15872" width="11.42578125" style="353"/>
    <col min="15873" max="15873" width="13.28515625" style="353" customWidth="1"/>
    <col min="15874" max="15874" width="30.85546875" style="353" customWidth="1"/>
    <col min="15875" max="15877" width="12.7109375" style="353" customWidth="1"/>
    <col min="15878" max="15878" width="10.7109375" style="353" customWidth="1"/>
    <col min="15879" max="15884" width="11.42578125" style="353"/>
    <col min="15885" max="15885" width="13.7109375" style="353" customWidth="1"/>
    <col min="15886" max="16128" width="11.42578125" style="353"/>
    <col min="16129" max="16129" width="13.28515625" style="353" customWidth="1"/>
    <col min="16130" max="16130" width="30.85546875" style="353" customWidth="1"/>
    <col min="16131" max="16133" width="12.7109375" style="353" customWidth="1"/>
    <col min="16134" max="16134" width="10.7109375" style="353" customWidth="1"/>
    <col min="16135" max="16140" width="11.42578125" style="353"/>
    <col min="16141" max="16141" width="13.7109375" style="353" customWidth="1"/>
    <col min="16142" max="16384" width="11.42578125" style="353"/>
  </cols>
  <sheetData>
    <row r="6" spans="2:6" ht="30" customHeight="1">
      <c r="B6" s="246" t="s">
        <v>320</v>
      </c>
      <c r="C6" s="247"/>
      <c r="D6" s="247"/>
      <c r="E6" s="248"/>
    </row>
    <row r="7" spans="2:6" ht="40.5" customHeight="1">
      <c r="B7" s="30" t="s">
        <v>267</v>
      </c>
      <c r="C7" s="223" t="str">
        <f>actualizaciones!A3</f>
        <v>acumulado julio 2009</v>
      </c>
      <c r="D7" s="223" t="str">
        <f>actualizaciones!A2</f>
        <v xml:space="preserve">acumulado julio 2010 </v>
      </c>
      <c r="E7" s="354" t="s">
        <v>262</v>
      </c>
    </row>
    <row r="8" spans="2:6" ht="15" customHeight="1">
      <c r="B8" s="98" t="s">
        <v>268</v>
      </c>
      <c r="C8" s="355"/>
      <c r="D8" s="356"/>
      <c r="E8" s="357"/>
    </row>
    <row r="9" spans="2:6">
      <c r="B9" s="358" t="s">
        <v>107</v>
      </c>
      <c r="C9" s="348">
        <f>GETPIVOTDATA("Suma de TOTAL GENERAL",'[1]tabla dinámica municipios'!$G$18,"PAIS/INDICADOR","INDICE OCUPACION ACUMULADO","AÑO",2009)</f>
        <v>53.490004210812813</v>
      </c>
      <c r="D9" s="348">
        <f>GETPIVOTDATA("Suma de TOTAL GENERAL",'[1]tabla dinámica municipios'!$G$18,"PAIS/INDICADOR","INDICE OCUPACION ACUMULADO","AÑO",2010)</f>
        <v>54.358202977071883</v>
      </c>
      <c r="E9" s="359">
        <f>D9/C9-1</f>
        <v>1.6231046885645251E-2</v>
      </c>
    </row>
    <row r="10" spans="2:6">
      <c r="B10" s="360" t="s">
        <v>242</v>
      </c>
      <c r="C10" s="350">
        <f>GETPIVOTDATA("Suma de total hotelero",'[1]tabla dinámica municipios'!$G$18,"PAIS/INDICADOR","INDICE OCUPACION ACUMULADO","AÑO",2009)</f>
        <v>61.991647762397605</v>
      </c>
      <c r="D10" s="350">
        <f>GETPIVOTDATA("Suma de total hotelero",'[1]tabla dinámica municipios'!$G$18,"PAIS/INDICADOR","INDICE OCUPACION ACUMULADO","AÑO",2010)</f>
        <v>63.816408769433401</v>
      </c>
      <c r="E10" s="361">
        <f t="shared" ref="E10:E26" si="0">D10/C10-1</f>
        <v>2.9435594517986718E-2</v>
      </c>
      <c r="F10" s="362"/>
    </row>
    <row r="11" spans="2:6">
      <c r="B11" s="363" t="s">
        <v>248</v>
      </c>
      <c r="C11" s="364">
        <f>GETPIVOTDATA("Suma de extrahoteleros",'[1]tabla dinámica municipios'!$G$18,"PAIS/INDICADOR","INDICE OCUPACION ACUMULADO","AÑO",2009)</f>
        <v>45.751555188498372</v>
      </c>
      <c r="D11" s="364">
        <f>GETPIVOTDATA("Suma de extrahoteleros",'[1]tabla dinámica municipios'!$G$18,"PAIS/INDICADOR","INDICE OCUPACION ACUMULADO","AÑO",2010)</f>
        <v>45.442623699464505</v>
      </c>
      <c r="E11" s="365">
        <f t="shared" si="0"/>
        <v>-6.7523713185498879E-3</v>
      </c>
      <c r="F11" s="362"/>
    </row>
    <row r="12" spans="2:6" ht="15" customHeight="1">
      <c r="B12" s="98" t="s">
        <v>89</v>
      </c>
      <c r="C12" s="366"/>
      <c r="D12" s="366"/>
      <c r="E12" s="367"/>
    </row>
    <row r="13" spans="2:6">
      <c r="B13" s="358" t="s">
        <v>107</v>
      </c>
      <c r="C13" s="348">
        <f>'[1]tabla dinámica municipios'!$K$311*100</f>
        <v>55.615451674608849</v>
      </c>
      <c r="D13" s="348">
        <f>'[1]tabla dinámica municipios'!$U$311*100</f>
        <v>57.336689255463426</v>
      </c>
      <c r="E13" s="359">
        <f t="shared" si="0"/>
        <v>3.0948909503155209E-2</v>
      </c>
    </row>
    <row r="14" spans="2:6">
      <c r="B14" s="360" t="s">
        <v>242</v>
      </c>
      <c r="C14" s="350">
        <f>'[1]tabla dinámica municipios'!$J$311*100</f>
        <v>66.215013478371304</v>
      </c>
      <c r="D14" s="350">
        <f>'[1]tabla dinámica municipios'!$T$311*100</f>
        <v>69.815886269859277</v>
      </c>
      <c r="E14" s="361">
        <f t="shared" si="0"/>
        <v>5.4381515646208856E-2</v>
      </c>
      <c r="F14" s="362"/>
    </row>
    <row r="15" spans="2:6">
      <c r="B15" s="363" t="s">
        <v>248</v>
      </c>
      <c r="C15" s="368">
        <f>'[1]tabla dinámica municipios'!$I$311*100</f>
        <v>44.204648752749911</v>
      </c>
      <c r="D15" s="368">
        <f>'[1]tabla dinámica municipios'!$S$311*100</f>
        <v>43.885093047549042</v>
      </c>
      <c r="E15" s="361">
        <f t="shared" si="0"/>
        <v>-7.2290067723022045E-3</v>
      </c>
      <c r="F15" s="362"/>
    </row>
    <row r="16" spans="2:6" ht="15" customHeight="1">
      <c r="B16" s="98" t="s">
        <v>305</v>
      </c>
      <c r="C16" s="378"/>
      <c r="D16" s="378"/>
      <c r="E16" s="379"/>
      <c r="F16" s="362"/>
    </row>
    <row r="17" spans="2:12">
      <c r="B17" s="358" t="s">
        <v>107</v>
      </c>
      <c r="C17" s="348">
        <f>'[1]tabla dinámica municipios'!$K$338*100</f>
        <v>56.222793180322093</v>
      </c>
      <c r="D17" s="348">
        <f>'[1]tabla dinámica municipios'!$U$338*100</f>
        <v>56.991904181811258</v>
      </c>
      <c r="E17" s="359">
        <f t="shared" si="0"/>
        <v>1.3679701024856827E-2</v>
      </c>
    </row>
    <row r="18" spans="2:12">
      <c r="B18" s="360" t="s">
        <v>242</v>
      </c>
      <c r="C18" s="350">
        <f>'[1]tabla dinámica municipios'!$J$338*100</f>
        <v>64.814816537400404</v>
      </c>
      <c r="D18" s="350">
        <f>'[1]tabla dinámica municipios'!$T$338*100</f>
        <v>66.642848288749178</v>
      </c>
      <c r="E18" s="361">
        <f t="shared" si="0"/>
        <v>2.820391769980457E-2</v>
      </c>
      <c r="F18" s="362"/>
    </row>
    <row r="19" spans="2:12">
      <c r="B19" s="363" t="s">
        <v>248</v>
      </c>
      <c r="C19" s="368">
        <f>'[1]tabla dinámica municipios'!$I$338*100</f>
        <v>51.246327299783125</v>
      </c>
      <c r="D19" s="368">
        <f>'[1]tabla dinámica municipios'!$S$338*100</f>
        <v>51.081542657664549</v>
      </c>
      <c r="E19" s="365">
        <f t="shared" si="0"/>
        <v>-3.2155405236088397E-3</v>
      </c>
      <c r="F19" s="362"/>
    </row>
    <row r="20" spans="2:12" ht="15" customHeight="1">
      <c r="B20" s="98" t="s">
        <v>306</v>
      </c>
      <c r="C20" s="366"/>
      <c r="D20" s="366"/>
      <c r="E20" s="367"/>
      <c r="F20" s="362"/>
    </row>
    <row r="21" spans="2:12">
      <c r="B21" s="358" t="s">
        <v>107</v>
      </c>
      <c r="C21" s="348">
        <f>'[1]tabla dinámica municipios'!$K$365*100</f>
        <v>55.055308525715972</v>
      </c>
      <c r="D21" s="348">
        <f>'[1]tabla dinámica municipios'!$U$365*100</f>
        <v>53.995217413409314</v>
      </c>
      <c r="E21" s="359">
        <f t="shared" si="0"/>
        <v>-1.925502082712871E-2</v>
      </c>
    </row>
    <row r="22" spans="2:12">
      <c r="B22" s="360" t="s">
        <v>242</v>
      </c>
      <c r="C22" s="350">
        <f>'[1]tabla dinámica municipios'!$J$365*100</f>
        <v>59.624365206741246</v>
      </c>
      <c r="D22" s="350">
        <f>'[1]tabla dinámica municipios'!$T$365*100</f>
        <v>59.811096091345739</v>
      </c>
      <c r="E22" s="361">
        <f t="shared" si="0"/>
        <v>3.1317882204200398E-3</v>
      </c>
      <c r="F22" s="362"/>
    </row>
    <row r="23" spans="2:12">
      <c r="B23" s="363" t="s">
        <v>248</v>
      </c>
      <c r="C23" s="368">
        <f>'[1]tabla dinámica municipios'!$I$365*100</f>
        <v>48.597891400732699</v>
      </c>
      <c r="D23" s="368">
        <f>'[1]tabla dinámica municipios'!$S$365*100</f>
        <v>44.995128586186198</v>
      </c>
      <c r="E23" s="365">
        <f t="shared" si="0"/>
        <v>-7.4134138554253881E-2</v>
      </c>
      <c r="F23" s="362"/>
    </row>
    <row r="24" spans="2:12" ht="15" customHeight="1">
      <c r="B24" s="98" t="s">
        <v>307</v>
      </c>
      <c r="C24" s="366"/>
      <c r="D24" s="366"/>
      <c r="E24" s="367"/>
      <c r="F24" s="362"/>
    </row>
    <row r="25" spans="2:12">
      <c r="B25" s="358" t="s">
        <v>107</v>
      </c>
      <c r="C25" s="348">
        <f>'[1]tabla dinámica municipios'!$K$392*100</f>
        <v>41.859501432611275</v>
      </c>
      <c r="D25" s="348">
        <f>'[1]tabla dinámica municipios'!$U$392*100</f>
        <v>37.709338935825123</v>
      </c>
      <c r="E25" s="359">
        <f t="shared" si="0"/>
        <v>-9.9145053207750466E-2</v>
      </c>
    </row>
    <row r="26" spans="2:12">
      <c r="B26" s="360" t="s">
        <v>242</v>
      </c>
      <c r="C26" s="350">
        <f>'[1]tabla dinámica municipios'!$J$392*100</f>
        <v>41.859501432611275</v>
      </c>
      <c r="D26" s="350">
        <f>'[1]tabla dinámica municipios'!$T$392*100</f>
        <v>37.709338935825123</v>
      </c>
      <c r="E26" s="361">
        <f t="shared" si="0"/>
        <v>-9.9145053207750466E-2</v>
      </c>
    </row>
    <row r="27" spans="2:12">
      <c r="B27" s="363" t="s">
        <v>248</v>
      </c>
      <c r="C27" s="368" t="s">
        <v>216</v>
      </c>
      <c r="D27" s="368" t="s">
        <v>216</v>
      </c>
      <c r="E27" s="368" t="s">
        <v>216</v>
      </c>
    </row>
    <row r="28" spans="2:12" ht="22.5" customHeight="1">
      <c r="B28" s="369" t="s">
        <v>186</v>
      </c>
      <c r="C28" s="369"/>
      <c r="D28" s="369"/>
      <c r="E28" s="462"/>
    </row>
    <row r="29" spans="2:12" ht="15" customHeight="1" thickBot="1">
      <c r="B29" s="370"/>
      <c r="C29" s="371"/>
      <c r="D29" s="371"/>
    </row>
    <row r="30" spans="2:12" ht="30" customHeight="1" thickBot="1">
      <c r="B30" s="339"/>
      <c r="C30" s="339"/>
      <c r="D30" s="339"/>
      <c r="E30" s="60" t="s">
        <v>49</v>
      </c>
      <c r="F30" s="339"/>
      <c r="G30" s="339"/>
      <c r="H30" s="339"/>
      <c r="I30" s="339"/>
      <c r="J30" s="339"/>
      <c r="K30" s="339"/>
      <c r="L30" s="339"/>
    </row>
  </sheetData>
  <mergeCells count="2">
    <mergeCell ref="B6:E6"/>
    <mergeCell ref="B28:E28"/>
  </mergeCells>
  <hyperlinks>
    <hyperlink ref="E30" location="'gráfica IO MUNICIPI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82.xml><?xml version="1.0" encoding="utf-8"?>
<worksheet xmlns="http://schemas.openxmlformats.org/spreadsheetml/2006/main" xmlns:r="http://schemas.openxmlformats.org/officeDocument/2006/relationships">
  <sheetPr codeName="Hoja19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5" sqref="B25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349"/>
    </row>
    <row r="4" spans="21:21">
      <c r="U4" s="349"/>
    </row>
    <row r="5" spans="21:21">
      <c r="U5" s="349"/>
    </row>
    <row r="8" spans="21:21" ht="25.5" customHeight="1"/>
    <row r="9" spans="21:21" ht="25.5" customHeight="1"/>
    <row r="11" spans="21:21">
      <c r="U11" s="349"/>
    </row>
    <row r="12" spans="21:21">
      <c r="U12" s="349"/>
    </row>
    <row r="15" spans="21:21">
      <c r="U15" s="349"/>
    </row>
    <row r="16" spans="21:21">
      <c r="U16" s="349"/>
    </row>
    <row r="17" spans="2:21">
      <c r="U17" s="349"/>
    </row>
    <row r="19" spans="2:21">
      <c r="U19" s="349"/>
    </row>
    <row r="20" spans="2:21">
      <c r="U20" s="349"/>
    </row>
    <row r="21" spans="2:21">
      <c r="U21" s="349"/>
    </row>
    <row r="23" spans="2:21">
      <c r="U23" s="349"/>
    </row>
    <row r="24" spans="2:21" ht="16.5" customHeight="1">
      <c r="U24" s="349"/>
    </row>
    <row r="25" spans="2:21">
      <c r="U25" s="349"/>
    </row>
    <row r="26" spans="2:21" ht="15" customHeight="1" thickBot="1"/>
    <row r="27" spans="2:21" ht="30" customHeight="1" thickBot="1">
      <c r="I27" s="60" t="s">
        <v>51</v>
      </c>
    </row>
    <row r="28" spans="2:21">
      <c r="B28" s="12"/>
      <c r="C28" s="12"/>
      <c r="D28" s="12"/>
      <c r="E28" s="12"/>
      <c r="F28" s="12"/>
      <c r="G28" s="12"/>
      <c r="L28" s="12"/>
    </row>
    <row r="29" spans="2:21">
      <c r="H29" s="12"/>
      <c r="I29" s="12"/>
      <c r="J29" s="12"/>
      <c r="K29" s="12"/>
    </row>
  </sheetData>
  <hyperlinks>
    <hyperlink ref="I27" location="'IO municipio y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83.xml><?xml version="1.0" encoding="utf-8"?>
<worksheet xmlns="http://schemas.openxmlformats.org/spreadsheetml/2006/main" xmlns:r="http://schemas.openxmlformats.org/officeDocument/2006/relationships">
  <sheetPr codeName="Hoja44">
    <tabColor rgb="FF000099"/>
    <pageSetUpPr autoPageBreaks="0" fitToPage="1"/>
  </sheetPr>
  <dimension ref="B1:L33"/>
  <sheetViews>
    <sheetView showGridLines="0" showRowColHeaders="0" showOutlineSymbols="0" topLeftCell="E6" zoomScaleNormal="100" workbookViewId="0">
      <selection activeCell="B25" sqref="B25"/>
    </sheetView>
  </sheetViews>
  <sheetFormatPr baseColWidth="10" defaultRowHeight="12.75"/>
  <cols>
    <col min="1" max="1" width="11.42578125" style="23"/>
    <col min="2" max="2" width="28.85546875" style="23" customWidth="1"/>
    <col min="3" max="4" width="12.7109375" style="23" customWidth="1"/>
    <col min="5" max="5" width="10.7109375" style="23" customWidth="1"/>
    <col min="6" max="6" width="11.42578125" style="23"/>
    <col min="7" max="7" width="28.7109375" style="23" customWidth="1"/>
    <col min="8" max="9" width="11.42578125" style="23"/>
    <col min="10" max="10" width="12.28515625" style="23" bestFit="1" customWidth="1"/>
    <col min="11" max="11" width="13.28515625" style="23" customWidth="1"/>
    <col min="12" max="253" width="11.42578125" style="23"/>
    <col min="254" max="254" width="36.7109375" style="23" customWidth="1"/>
    <col min="255" max="255" width="12.7109375" style="23" customWidth="1"/>
    <col min="256" max="256" width="10.7109375" style="23" customWidth="1"/>
    <col min="257" max="257" width="12.7109375" style="23" customWidth="1"/>
    <col min="258" max="259" width="10.7109375" style="23" customWidth="1"/>
    <col min="260" max="266" width="11.42578125" style="23"/>
    <col min="267" max="267" width="13.28515625" style="23" customWidth="1"/>
    <col min="268" max="509" width="11.42578125" style="23"/>
    <col min="510" max="510" width="36.7109375" style="23" customWidth="1"/>
    <col min="511" max="511" width="12.7109375" style="23" customWidth="1"/>
    <col min="512" max="512" width="10.7109375" style="23" customWidth="1"/>
    <col min="513" max="513" width="12.7109375" style="23" customWidth="1"/>
    <col min="514" max="515" width="10.7109375" style="23" customWidth="1"/>
    <col min="516" max="522" width="11.42578125" style="23"/>
    <col min="523" max="523" width="13.28515625" style="23" customWidth="1"/>
    <col min="524" max="765" width="11.42578125" style="23"/>
    <col min="766" max="766" width="36.7109375" style="23" customWidth="1"/>
    <col min="767" max="767" width="12.7109375" style="23" customWidth="1"/>
    <col min="768" max="768" width="10.7109375" style="23" customWidth="1"/>
    <col min="769" max="769" width="12.7109375" style="23" customWidth="1"/>
    <col min="770" max="771" width="10.7109375" style="23" customWidth="1"/>
    <col min="772" max="778" width="11.42578125" style="23"/>
    <col min="779" max="779" width="13.28515625" style="23" customWidth="1"/>
    <col min="780" max="1021" width="11.42578125" style="23"/>
    <col min="1022" max="1022" width="36.7109375" style="23" customWidth="1"/>
    <col min="1023" max="1023" width="12.7109375" style="23" customWidth="1"/>
    <col min="1024" max="1024" width="10.7109375" style="23" customWidth="1"/>
    <col min="1025" max="1025" width="12.7109375" style="23" customWidth="1"/>
    <col min="1026" max="1027" width="10.7109375" style="23" customWidth="1"/>
    <col min="1028" max="1034" width="11.42578125" style="23"/>
    <col min="1035" max="1035" width="13.28515625" style="23" customWidth="1"/>
    <col min="1036" max="1277" width="11.42578125" style="23"/>
    <col min="1278" max="1278" width="36.7109375" style="23" customWidth="1"/>
    <col min="1279" max="1279" width="12.7109375" style="23" customWidth="1"/>
    <col min="1280" max="1280" width="10.7109375" style="23" customWidth="1"/>
    <col min="1281" max="1281" width="12.7109375" style="23" customWidth="1"/>
    <col min="1282" max="1283" width="10.7109375" style="23" customWidth="1"/>
    <col min="1284" max="1290" width="11.42578125" style="23"/>
    <col min="1291" max="1291" width="13.28515625" style="23" customWidth="1"/>
    <col min="1292" max="1533" width="11.42578125" style="23"/>
    <col min="1534" max="1534" width="36.7109375" style="23" customWidth="1"/>
    <col min="1535" max="1535" width="12.7109375" style="23" customWidth="1"/>
    <col min="1536" max="1536" width="10.7109375" style="23" customWidth="1"/>
    <col min="1537" max="1537" width="12.7109375" style="23" customWidth="1"/>
    <col min="1538" max="1539" width="10.7109375" style="23" customWidth="1"/>
    <col min="1540" max="1546" width="11.42578125" style="23"/>
    <col min="1547" max="1547" width="13.28515625" style="23" customWidth="1"/>
    <col min="1548" max="1789" width="11.42578125" style="23"/>
    <col min="1790" max="1790" width="36.7109375" style="23" customWidth="1"/>
    <col min="1791" max="1791" width="12.7109375" style="23" customWidth="1"/>
    <col min="1792" max="1792" width="10.7109375" style="23" customWidth="1"/>
    <col min="1793" max="1793" width="12.7109375" style="23" customWidth="1"/>
    <col min="1794" max="1795" width="10.7109375" style="23" customWidth="1"/>
    <col min="1796" max="1802" width="11.42578125" style="23"/>
    <col min="1803" max="1803" width="13.28515625" style="23" customWidth="1"/>
    <col min="1804" max="2045" width="11.42578125" style="23"/>
    <col min="2046" max="2046" width="36.7109375" style="23" customWidth="1"/>
    <col min="2047" max="2047" width="12.7109375" style="23" customWidth="1"/>
    <col min="2048" max="2048" width="10.7109375" style="23" customWidth="1"/>
    <col min="2049" max="2049" width="12.7109375" style="23" customWidth="1"/>
    <col min="2050" max="2051" width="10.7109375" style="23" customWidth="1"/>
    <col min="2052" max="2058" width="11.42578125" style="23"/>
    <col min="2059" max="2059" width="13.28515625" style="23" customWidth="1"/>
    <col min="2060" max="2301" width="11.42578125" style="23"/>
    <col min="2302" max="2302" width="36.7109375" style="23" customWidth="1"/>
    <col min="2303" max="2303" width="12.7109375" style="23" customWidth="1"/>
    <col min="2304" max="2304" width="10.7109375" style="23" customWidth="1"/>
    <col min="2305" max="2305" width="12.7109375" style="23" customWidth="1"/>
    <col min="2306" max="2307" width="10.7109375" style="23" customWidth="1"/>
    <col min="2308" max="2314" width="11.42578125" style="23"/>
    <col min="2315" max="2315" width="13.28515625" style="23" customWidth="1"/>
    <col min="2316" max="2557" width="11.42578125" style="23"/>
    <col min="2558" max="2558" width="36.7109375" style="23" customWidth="1"/>
    <col min="2559" max="2559" width="12.7109375" style="23" customWidth="1"/>
    <col min="2560" max="2560" width="10.7109375" style="23" customWidth="1"/>
    <col min="2561" max="2561" width="12.7109375" style="23" customWidth="1"/>
    <col min="2562" max="2563" width="10.7109375" style="23" customWidth="1"/>
    <col min="2564" max="2570" width="11.42578125" style="23"/>
    <col min="2571" max="2571" width="13.28515625" style="23" customWidth="1"/>
    <col min="2572" max="2813" width="11.42578125" style="23"/>
    <col min="2814" max="2814" width="36.7109375" style="23" customWidth="1"/>
    <col min="2815" max="2815" width="12.7109375" style="23" customWidth="1"/>
    <col min="2816" max="2816" width="10.7109375" style="23" customWidth="1"/>
    <col min="2817" max="2817" width="12.7109375" style="23" customWidth="1"/>
    <col min="2818" max="2819" width="10.7109375" style="23" customWidth="1"/>
    <col min="2820" max="2826" width="11.42578125" style="23"/>
    <col min="2827" max="2827" width="13.28515625" style="23" customWidth="1"/>
    <col min="2828" max="3069" width="11.42578125" style="23"/>
    <col min="3070" max="3070" width="36.7109375" style="23" customWidth="1"/>
    <col min="3071" max="3071" width="12.7109375" style="23" customWidth="1"/>
    <col min="3072" max="3072" width="10.7109375" style="23" customWidth="1"/>
    <col min="3073" max="3073" width="12.7109375" style="23" customWidth="1"/>
    <col min="3074" max="3075" width="10.7109375" style="23" customWidth="1"/>
    <col min="3076" max="3082" width="11.42578125" style="23"/>
    <col min="3083" max="3083" width="13.28515625" style="23" customWidth="1"/>
    <col min="3084" max="3325" width="11.42578125" style="23"/>
    <col min="3326" max="3326" width="36.7109375" style="23" customWidth="1"/>
    <col min="3327" max="3327" width="12.7109375" style="23" customWidth="1"/>
    <col min="3328" max="3328" width="10.7109375" style="23" customWidth="1"/>
    <col min="3329" max="3329" width="12.7109375" style="23" customWidth="1"/>
    <col min="3330" max="3331" width="10.7109375" style="23" customWidth="1"/>
    <col min="3332" max="3338" width="11.42578125" style="23"/>
    <col min="3339" max="3339" width="13.28515625" style="23" customWidth="1"/>
    <col min="3340" max="3581" width="11.42578125" style="23"/>
    <col min="3582" max="3582" width="36.7109375" style="23" customWidth="1"/>
    <col min="3583" max="3583" width="12.7109375" style="23" customWidth="1"/>
    <col min="3584" max="3584" width="10.7109375" style="23" customWidth="1"/>
    <col min="3585" max="3585" width="12.7109375" style="23" customWidth="1"/>
    <col min="3586" max="3587" width="10.7109375" style="23" customWidth="1"/>
    <col min="3588" max="3594" width="11.42578125" style="23"/>
    <col min="3595" max="3595" width="13.28515625" style="23" customWidth="1"/>
    <col min="3596" max="3837" width="11.42578125" style="23"/>
    <col min="3838" max="3838" width="36.7109375" style="23" customWidth="1"/>
    <col min="3839" max="3839" width="12.7109375" style="23" customWidth="1"/>
    <col min="3840" max="3840" width="10.7109375" style="23" customWidth="1"/>
    <col min="3841" max="3841" width="12.7109375" style="23" customWidth="1"/>
    <col min="3842" max="3843" width="10.7109375" style="23" customWidth="1"/>
    <col min="3844" max="3850" width="11.42578125" style="23"/>
    <col min="3851" max="3851" width="13.28515625" style="23" customWidth="1"/>
    <col min="3852" max="4093" width="11.42578125" style="23"/>
    <col min="4094" max="4094" width="36.7109375" style="23" customWidth="1"/>
    <col min="4095" max="4095" width="12.7109375" style="23" customWidth="1"/>
    <col min="4096" max="4096" width="10.7109375" style="23" customWidth="1"/>
    <col min="4097" max="4097" width="12.7109375" style="23" customWidth="1"/>
    <col min="4098" max="4099" width="10.7109375" style="23" customWidth="1"/>
    <col min="4100" max="4106" width="11.42578125" style="23"/>
    <col min="4107" max="4107" width="13.28515625" style="23" customWidth="1"/>
    <col min="4108" max="4349" width="11.42578125" style="23"/>
    <col min="4350" max="4350" width="36.7109375" style="23" customWidth="1"/>
    <col min="4351" max="4351" width="12.7109375" style="23" customWidth="1"/>
    <col min="4352" max="4352" width="10.7109375" style="23" customWidth="1"/>
    <col min="4353" max="4353" width="12.7109375" style="23" customWidth="1"/>
    <col min="4354" max="4355" width="10.7109375" style="23" customWidth="1"/>
    <col min="4356" max="4362" width="11.42578125" style="23"/>
    <col min="4363" max="4363" width="13.28515625" style="23" customWidth="1"/>
    <col min="4364" max="4605" width="11.42578125" style="23"/>
    <col min="4606" max="4606" width="36.7109375" style="23" customWidth="1"/>
    <col min="4607" max="4607" width="12.7109375" style="23" customWidth="1"/>
    <col min="4608" max="4608" width="10.7109375" style="23" customWidth="1"/>
    <col min="4609" max="4609" width="12.7109375" style="23" customWidth="1"/>
    <col min="4610" max="4611" width="10.7109375" style="23" customWidth="1"/>
    <col min="4612" max="4618" width="11.42578125" style="23"/>
    <col min="4619" max="4619" width="13.28515625" style="23" customWidth="1"/>
    <col min="4620" max="4861" width="11.42578125" style="23"/>
    <col min="4862" max="4862" width="36.7109375" style="23" customWidth="1"/>
    <col min="4863" max="4863" width="12.7109375" style="23" customWidth="1"/>
    <col min="4864" max="4864" width="10.7109375" style="23" customWidth="1"/>
    <col min="4865" max="4865" width="12.7109375" style="23" customWidth="1"/>
    <col min="4866" max="4867" width="10.7109375" style="23" customWidth="1"/>
    <col min="4868" max="4874" width="11.42578125" style="23"/>
    <col min="4875" max="4875" width="13.28515625" style="23" customWidth="1"/>
    <col min="4876" max="5117" width="11.42578125" style="23"/>
    <col min="5118" max="5118" width="36.7109375" style="23" customWidth="1"/>
    <col min="5119" max="5119" width="12.7109375" style="23" customWidth="1"/>
    <col min="5120" max="5120" width="10.7109375" style="23" customWidth="1"/>
    <col min="5121" max="5121" width="12.7109375" style="23" customWidth="1"/>
    <col min="5122" max="5123" width="10.7109375" style="23" customWidth="1"/>
    <col min="5124" max="5130" width="11.42578125" style="23"/>
    <col min="5131" max="5131" width="13.28515625" style="23" customWidth="1"/>
    <col min="5132" max="5373" width="11.42578125" style="23"/>
    <col min="5374" max="5374" width="36.7109375" style="23" customWidth="1"/>
    <col min="5375" max="5375" width="12.7109375" style="23" customWidth="1"/>
    <col min="5376" max="5376" width="10.7109375" style="23" customWidth="1"/>
    <col min="5377" max="5377" width="12.7109375" style="23" customWidth="1"/>
    <col min="5378" max="5379" width="10.7109375" style="23" customWidth="1"/>
    <col min="5380" max="5386" width="11.42578125" style="23"/>
    <col min="5387" max="5387" width="13.28515625" style="23" customWidth="1"/>
    <col min="5388" max="5629" width="11.42578125" style="23"/>
    <col min="5630" max="5630" width="36.7109375" style="23" customWidth="1"/>
    <col min="5631" max="5631" width="12.7109375" style="23" customWidth="1"/>
    <col min="5632" max="5632" width="10.7109375" style="23" customWidth="1"/>
    <col min="5633" max="5633" width="12.7109375" style="23" customWidth="1"/>
    <col min="5634" max="5635" width="10.7109375" style="23" customWidth="1"/>
    <col min="5636" max="5642" width="11.42578125" style="23"/>
    <col min="5643" max="5643" width="13.28515625" style="23" customWidth="1"/>
    <col min="5644" max="5885" width="11.42578125" style="23"/>
    <col min="5886" max="5886" width="36.7109375" style="23" customWidth="1"/>
    <col min="5887" max="5887" width="12.7109375" style="23" customWidth="1"/>
    <col min="5888" max="5888" width="10.7109375" style="23" customWidth="1"/>
    <col min="5889" max="5889" width="12.7109375" style="23" customWidth="1"/>
    <col min="5890" max="5891" width="10.7109375" style="23" customWidth="1"/>
    <col min="5892" max="5898" width="11.42578125" style="23"/>
    <col min="5899" max="5899" width="13.28515625" style="23" customWidth="1"/>
    <col min="5900" max="6141" width="11.42578125" style="23"/>
    <col min="6142" max="6142" width="36.7109375" style="23" customWidth="1"/>
    <col min="6143" max="6143" width="12.7109375" style="23" customWidth="1"/>
    <col min="6144" max="6144" width="10.7109375" style="23" customWidth="1"/>
    <col min="6145" max="6145" width="12.7109375" style="23" customWidth="1"/>
    <col min="6146" max="6147" width="10.7109375" style="23" customWidth="1"/>
    <col min="6148" max="6154" width="11.42578125" style="23"/>
    <col min="6155" max="6155" width="13.28515625" style="23" customWidth="1"/>
    <col min="6156" max="6397" width="11.42578125" style="23"/>
    <col min="6398" max="6398" width="36.7109375" style="23" customWidth="1"/>
    <col min="6399" max="6399" width="12.7109375" style="23" customWidth="1"/>
    <col min="6400" max="6400" width="10.7109375" style="23" customWidth="1"/>
    <col min="6401" max="6401" width="12.7109375" style="23" customWidth="1"/>
    <col min="6402" max="6403" width="10.7109375" style="23" customWidth="1"/>
    <col min="6404" max="6410" width="11.42578125" style="23"/>
    <col min="6411" max="6411" width="13.28515625" style="23" customWidth="1"/>
    <col min="6412" max="6653" width="11.42578125" style="23"/>
    <col min="6654" max="6654" width="36.7109375" style="23" customWidth="1"/>
    <col min="6655" max="6655" width="12.7109375" style="23" customWidth="1"/>
    <col min="6656" max="6656" width="10.7109375" style="23" customWidth="1"/>
    <col min="6657" max="6657" width="12.7109375" style="23" customWidth="1"/>
    <col min="6658" max="6659" width="10.7109375" style="23" customWidth="1"/>
    <col min="6660" max="6666" width="11.42578125" style="23"/>
    <col min="6667" max="6667" width="13.28515625" style="23" customWidth="1"/>
    <col min="6668" max="6909" width="11.42578125" style="23"/>
    <col min="6910" max="6910" width="36.7109375" style="23" customWidth="1"/>
    <col min="6911" max="6911" width="12.7109375" style="23" customWidth="1"/>
    <col min="6912" max="6912" width="10.7109375" style="23" customWidth="1"/>
    <col min="6913" max="6913" width="12.7109375" style="23" customWidth="1"/>
    <col min="6914" max="6915" width="10.7109375" style="23" customWidth="1"/>
    <col min="6916" max="6922" width="11.42578125" style="23"/>
    <col min="6923" max="6923" width="13.28515625" style="23" customWidth="1"/>
    <col min="6924" max="7165" width="11.42578125" style="23"/>
    <col min="7166" max="7166" width="36.7109375" style="23" customWidth="1"/>
    <col min="7167" max="7167" width="12.7109375" style="23" customWidth="1"/>
    <col min="7168" max="7168" width="10.7109375" style="23" customWidth="1"/>
    <col min="7169" max="7169" width="12.7109375" style="23" customWidth="1"/>
    <col min="7170" max="7171" width="10.7109375" style="23" customWidth="1"/>
    <col min="7172" max="7178" width="11.42578125" style="23"/>
    <col min="7179" max="7179" width="13.28515625" style="23" customWidth="1"/>
    <col min="7180" max="7421" width="11.42578125" style="23"/>
    <col min="7422" max="7422" width="36.7109375" style="23" customWidth="1"/>
    <col min="7423" max="7423" width="12.7109375" style="23" customWidth="1"/>
    <col min="7424" max="7424" width="10.7109375" style="23" customWidth="1"/>
    <col min="7425" max="7425" width="12.7109375" style="23" customWidth="1"/>
    <col min="7426" max="7427" width="10.7109375" style="23" customWidth="1"/>
    <col min="7428" max="7434" width="11.42578125" style="23"/>
    <col min="7435" max="7435" width="13.28515625" style="23" customWidth="1"/>
    <col min="7436" max="7677" width="11.42578125" style="23"/>
    <col min="7678" max="7678" width="36.7109375" style="23" customWidth="1"/>
    <col min="7679" max="7679" width="12.7109375" style="23" customWidth="1"/>
    <col min="7680" max="7680" width="10.7109375" style="23" customWidth="1"/>
    <col min="7681" max="7681" width="12.7109375" style="23" customWidth="1"/>
    <col min="7682" max="7683" width="10.7109375" style="23" customWidth="1"/>
    <col min="7684" max="7690" width="11.42578125" style="23"/>
    <col min="7691" max="7691" width="13.28515625" style="23" customWidth="1"/>
    <col min="7692" max="7933" width="11.42578125" style="23"/>
    <col min="7934" max="7934" width="36.7109375" style="23" customWidth="1"/>
    <col min="7935" max="7935" width="12.7109375" style="23" customWidth="1"/>
    <col min="7936" max="7936" width="10.7109375" style="23" customWidth="1"/>
    <col min="7937" max="7937" width="12.7109375" style="23" customWidth="1"/>
    <col min="7938" max="7939" width="10.7109375" style="23" customWidth="1"/>
    <col min="7940" max="7946" width="11.42578125" style="23"/>
    <col min="7947" max="7947" width="13.28515625" style="23" customWidth="1"/>
    <col min="7948" max="8189" width="11.42578125" style="23"/>
    <col min="8190" max="8190" width="36.7109375" style="23" customWidth="1"/>
    <col min="8191" max="8191" width="12.7109375" style="23" customWidth="1"/>
    <col min="8192" max="8192" width="10.7109375" style="23" customWidth="1"/>
    <col min="8193" max="8193" width="12.7109375" style="23" customWidth="1"/>
    <col min="8194" max="8195" width="10.7109375" style="23" customWidth="1"/>
    <col min="8196" max="8202" width="11.42578125" style="23"/>
    <col min="8203" max="8203" width="13.28515625" style="23" customWidth="1"/>
    <col min="8204" max="8445" width="11.42578125" style="23"/>
    <col min="8446" max="8446" width="36.7109375" style="23" customWidth="1"/>
    <col min="8447" max="8447" width="12.7109375" style="23" customWidth="1"/>
    <col min="8448" max="8448" width="10.7109375" style="23" customWidth="1"/>
    <col min="8449" max="8449" width="12.7109375" style="23" customWidth="1"/>
    <col min="8450" max="8451" width="10.7109375" style="23" customWidth="1"/>
    <col min="8452" max="8458" width="11.42578125" style="23"/>
    <col min="8459" max="8459" width="13.28515625" style="23" customWidth="1"/>
    <col min="8460" max="8701" width="11.42578125" style="23"/>
    <col min="8702" max="8702" width="36.7109375" style="23" customWidth="1"/>
    <col min="8703" max="8703" width="12.7109375" style="23" customWidth="1"/>
    <col min="8704" max="8704" width="10.7109375" style="23" customWidth="1"/>
    <col min="8705" max="8705" width="12.7109375" style="23" customWidth="1"/>
    <col min="8706" max="8707" width="10.7109375" style="23" customWidth="1"/>
    <col min="8708" max="8714" width="11.42578125" style="23"/>
    <col min="8715" max="8715" width="13.28515625" style="23" customWidth="1"/>
    <col min="8716" max="8957" width="11.42578125" style="23"/>
    <col min="8958" max="8958" width="36.7109375" style="23" customWidth="1"/>
    <col min="8959" max="8959" width="12.7109375" style="23" customWidth="1"/>
    <col min="8960" max="8960" width="10.7109375" style="23" customWidth="1"/>
    <col min="8961" max="8961" width="12.7109375" style="23" customWidth="1"/>
    <col min="8962" max="8963" width="10.7109375" style="23" customWidth="1"/>
    <col min="8964" max="8970" width="11.42578125" style="23"/>
    <col min="8971" max="8971" width="13.28515625" style="23" customWidth="1"/>
    <col min="8972" max="9213" width="11.42578125" style="23"/>
    <col min="9214" max="9214" width="36.7109375" style="23" customWidth="1"/>
    <col min="9215" max="9215" width="12.7109375" style="23" customWidth="1"/>
    <col min="9216" max="9216" width="10.7109375" style="23" customWidth="1"/>
    <col min="9217" max="9217" width="12.7109375" style="23" customWidth="1"/>
    <col min="9218" max="9219" width="10.7109375" style="23" customWidth="1"/>
    <col min="9220" max="9226" width="11.42578125" style="23"/>
    <col min="9227" max="9227" width="13.28515625" style="23" customWidth="1"/>
    <col min="9228" max="9469" width="11.42578125" style="23"/>
    <col min="9470" max="9470" width="36.7109375" style="23" customWidth="1"/>
    <col min="9471" max="9471" width="12.7109375" style="23" customWidth="1"/>
    <col min="9472" max="9472" width="10.7109375" style="23" customWidth="1"/>
    <col min="9473" max="9473" width="12.7109375" style="23" customWidth="1"/>
    <col min="9474" max="9475" width="10.7109375" style="23" customWidth="1"/>
    <col min="9476" max="9482" width="11.42578125" style="23"/>
    <col min="9483" max="9483" width="13.28515625" style="23" customWidth="1"/>
    <col min="9484" max="9725" width="11.42578125" style="23"/>
    <col min="9726" max="9726" width="36.7109375" style="23" customWidth="1"/>
    <col min="9727" max="9727" width="12.7109375" style="23" customWidth="1"/>
    <col min="9728" max="9728" width="10.7109375" style="23" customWidth="1"/>
    <col min="9729" max="9729" width="12.7109375" style="23" customWidth="1"/>
    <col min="9730" max="9731" width="10.7109375" style="23" customWidth="1"/>
    <col min="9732" max="9738" width="11.42578125" style="23"/>
    <col min="9739" max="9739" width="13.28515625" style="23" customWidth="1"/>
    <col min="9740" max="9981" width="11.42578125" style="23"/>
    <col min="9982" max="9982" width="36.7109375" style="23" customWidth="1"/>
    <col min="9983" max="9983" width="12.7109375" style="23" customWidth="1"/>
    <col min="9984" max="9984" width="10.7109375" style="23" customWidth="1"/>
    <col min="9985" max="9985" width="12.7109375" style="23" customWidth="1"/>
    <col min="9986" max="9987" width="10.7109375" style="23" customWidth="1"/>
    <col min="9988" max="9994" width="11.42578125" style="23"/>
    <col min="9995" max="9995" width="13.28515625" style="23" customWidth="1"/>
    <col min="9996" max="10237" width="11.42578125" style="23"/>
    <col min="10238" max="10238" width="36.7109375" style="23" customWidth="1"/>
    <col min="10239" max="10239" width="12.7109375" style="23" customWidth="1"/>
    <col min="10240" max="10240" width="10.7109375" style="23" customWidth="1"/>
    <col min="10241" max="10241" width="12.7109375" style="23" customWidth="1"/>
    <col min="10242" max="10243" width="10.7109375" style="23" customWidth="1"/>
    <col min="10244" max="10250" width="11.42578125" style="23"/>
    <col min="10251" max="10251" width="13.28515625" style="23" customWidth="1"/>
    <col min="10252" max="10493" width="11.42578125" style="23"/>
    <col min="10494" max="10494" width="36.7109375" style="23" customWidth="1"/>
    <col min="10495" max="10495" width="12.7109375" style="23" customWidth="1"/>
    <col min="10496" max="10496" width="10.7109375" style="23" customWidth="1"/>
    <col min="10497" max="10497" width="12.7109375" style="23" customWidth="1"/>
    <col min="10498" max="10499" width="10.7109375" style="23" customWidth="1"/>
    <col min="10500" max="10506" width="11.42578125" style="23"/>
    <col min="10507" max="10507" width="13.28515625" style="23" customWidth="1"/>
    <col min="10508" max="10749" width="11.42578125" style="23"/>
    <col min="10750" max="10750" width="36.7109375" style="23" customWidth="1"/>
    <col min="10751" max="10751" width="12.7109375" style="23" customWidth="1"/>
    <col min="10752" max="10752" width="10.7109375" style="23" customWidth="1"/>
    <col min="10753" max="10753" width="12.7109375" style="23" customWidth="1"/>
    <col min="10754" max="10755" width="10.7109375" style="23" customWidth="1"/>
    <col min="10756" max="10762" width="11.42578125" style="23"/>
    <col min="10763" max="10763" width="13.28515625" style="23" customWidth="1"/>
    <col min="10764" max="11005" width="11.42578125" style="23"/>
    <col min="11006" max="11006" width="36.7109375" style="23" customWidth="1"/>
    <col min="11007" max="11007" width="12.7109375" style="23" customWidth="1"/>
    <col min="11008" max="11008" width="10.7109375" style="23" customWidth="1"/>
    <col min="11009" max="11009" width="12.7109375" style="23" customWidth="1"/>
    <col min="11010" max="11011" width="10.7109375" style="23" customWidth="1"/>
    <col min="11012" max="11018" width="11.42578125" style="23"/>
    <col min="11019" max="11019" width="13.28515625" style="23" customWidth="1"/>
    <col min="11020" max="11261" width="11.42578125" style="23"/>
    <col min="11262" max="11262" width="36.7109375" style="23" customWidth="1"/>
    <col min="11263" max="11263" width="12.7109375" style="23" customWidth="1"/>
    <col min="11264" max="11264" width="10.7109375" style="23" customWidth="1"/>
    <col min="11265" max="11265" width="12.7109375" style="23" customWidth="1"/>
    <col min="11266" max="11267" width="10.7109375" style="23" customWidth="1"/>
    <col min="11268" max="11274" width="11.42578125" style="23"/>
    <col min="11275" max="11275" width="13.28515625" style="23" customWidth="1"/>
    <col min="11276" max="11517" width="11.42578125" style="23"/>
    <col min="11518" max="11518" width="36.7109375" style="23" customWidth="1"/>
    <col min="11519" max="11519" width="12.7109375" style="23" customWidth="1"/>
    <col min="11520" max="11520" width="10.7109375" style="23" customWidth="1"/>
    <col min="11521" max="11521" width="12.7109375" style="23" customWidth="1"/>
    <col min="11522" max="11523" width="10.7109375" style="23" customWidth="1"/>
    <col min="11524" max="11530" width="11.42578125" style="23"/>
    <col min="11531" max="11531" width="13.28515625" style="23" customWidth="1"/>
    <col min="11532" max="11773" width="11.42578125" style="23"/>
    <col min="11774" max="11774" width="36.7109375" style="23" customWidth="1"/>
    <col min="11775" max="11775" width="12.7109375" style="23" customWidth="1"/>
    <col min="11776" max="11776" width="10.7109375" style="23" customWidth="1"/>
    <col min="11777" max="11777" width="12.7109375" style="23" customWidth="1"/>
    <col min="11778" max="11779" width="10.7109375" style="23" customWidth="1"/>
    <col min="11780" max="11786" width="11.42578125" style="23"/>
    <col min="11787" max="11787" width="13.28515625" style="23" customWidth="1"/>
    <col min="11788" max="12029" width="11.42578125" style="23"/>
    <col min="12030" max="12030" width="36.7109375" style="23" customWidth="1"/>
    <col min="12031" max="12031" width="12.7109375" style="23" customWidth="1"/>
    <col min="12032" max="12032" width="10.7109375" style="23" customWidth="1"/>
    <col min="12033" max="12033" width="12.7109375" style="23" customWidth="1"/>
    <col min="12034" max="12035" width="10.7109375" style="23" customWidth="1"/>
    <col min="12036" max="12042" width="11.42578125" style="23"/>
    <col min="12043" max="12043" width="13.28515625" style="23" customWidth="1"/>
    <col min="12044" max="12285" width="11.42578125" style="23"/>
    <col min="12286" max="12286" width="36.7109375" style="23" customWidth="1"/>
    <col min="12287" max="12287" width="12.7109375" style="23" customWidth="1"/>
    <col min="12288" max="12288" width="10.7109375" style="23" customWidth="1"/>
    <col min="12289" max="12289" width="12.7109375" style="23" customWidth="1"/>
    <col min="12290" max="12291" width="10.7109375" style="23" customWidth="1"/>
    <col min="12292" max="12298" width="11.42578125" style="23"/>
    <col min="12299" max="12299" width="13.28515625" style="23" customWidth="1"/>
    <col min="12300" max="12541" width="11.42578125" style="23"/>
    <col min="12542" max="12542" width="36.7109375" style="23" customWidth="1"/>
    <col min="12543" max="12543" width="12.7109375" style="23" customWidth="1"/>
    <col min="12544" max="12544" width="10.7109375" style="23" customWidth="1"/>
    <col min="12545" max="12545" width="12.7109375" style="23" customWidth="1"/>
    <col min="12546" max="12547" width="10.7109375" style="23" customWidth="1"/>
    <col min="12548" max="12554" width="11.42578125" style="23"/>
    <col min="12555" max="12555" width="13.28515625" style="23" customWidth="1"/>
    <col min="12556" max="12797" width="11.42578125" style="23"/>
    <col min="12798" max="12798" width="36.7109375" style="23" customWidth="1"/>
    <col min="12799" max="12799" width="12.7109375" style="23" customWidth="1"/>
    <col min="12800" max="12800" width="10.7109375" style="23" customWidth="1"/>
    <col min="12801" max="12801" width="12.7109375" style="23" customWidth="1"/>
    <col min="12802" max="12803" width="10.7109375" style="23" customWidth="1"/>
    <col min="12804" max="12810" width="11.42578125" style="23"/>
    <col min="12811" max="12811" width="13.28515625" style="23" customWidth="1"/>
    <col min="12812" max="13053" width="11.42578125" style="23"/>
    <col min="13054" max="13054" width="36.7109375" style="23" customWidth="1"/>
    <col min="13055" max="13055" width="12.7109375" style="23" customWidth="1"/>
    <col min="13056" max="13056" width="10.7109375" style="23" customWidth="1"/>
    <col min="13057" max="13057" width="12.7109375" style="23" customWidth="1"/>
    <col min="13058" max="13059" width="10.7109375" style="23" customWidth="1"/>
    <col min="13060" max="13066" width="11.42578125" style="23"/>
    <col min="13067" max="13067" width="13.28515625" style="23" customWidth="1"/>
    <col min="13068" max="13309" width="11.42578125" style="23"/>
    <col min="13310" max="13310" width="36.7109375" style="23" customWidth="1"/>
    <col min="13311" max="13311" width="12.7109375" style="23" customWidth="1"/>
    <col min="13312" max="13312" width="10.7109375" style="23" customWidth="1"/>
    <col min="13313" max="13313" width="12.7109375" style="23" customWidth="1"/>
    <col min="13314" max="13315" width="10.7109375" style="23" customWidth="1"/>
    <col min="13316" max="13322" width="11.42578125" style="23"/>
    <col min="13323" max="13323" width="13.28515625" style="23" customWidth="1"/>
    <col min="13324" max="13565" width="11.42578125" style="23"/>
    <col min="13566" max="13566" width="36.7109375" style="23" customWidth="1"/>
    <col min="13567" max="13567" width="12.7109375" style="23" customWidth="1"/>
    <col min="13568" max="13568" width="10.7109375" style="23" customWidth="1"/>
    <col min="13569" max="13569" width="12.7109375" style="23" customWidth="1"/>
    <col min="13570" max="13571" width="10.7109375" style="23" customWidth="1"/>
    <col min="13572" max="13578" width="11.42578125" style="23"/>
    <col min="13579" max="13579" width="13.28515625" style="23" customWidth="1"/>
    <col min="13580" max="13821" width="11.42578125" style="23"/>
    <col min="13822" max="13822" width="36.7109375" style="23" customWidth="1"/>
    <col min="13823" max="13823" width="12.7109375" style="23" customWidth="1"/>
    <col min="13824" max="13824" width="10.7109375" style="23" customWidth="1"/>
    <col min="13825" max="13825" width="12.7109375" style="23" customWidth="1"/>
    <col min="13826" max="13827" width="10.7109375" style="23" customWidth="1"/>
    <col min="13828" max="13834" width="11.42578125" style="23"/>
    <col min="13835" max="13835" width="13.28515625" style="23" customWidth="1"/>
    <col min="13836" max="14077" width="11.42578125" style="23"/>
    <col min="14078" max="14078" width="36.7109375" style="23" customWidth="1"/>
    <col min="14079" max="14079" width="12.7109375" style="23" customWidth="1"/>
    <col min="14080" max="14080" width="10.7109375" style="23" customWidth="1"/>
    <col min="14081" max="14081" width="12.7109375" style="23" customWidth="1"/>
    <col min="14082" max="14083" width="10.7109375" style="23" customWidth="1"/>
    <col min="14084" max="14090" width="11.42578125" style="23"/>
    <col min="14091" max="14091" width="13.28515625" style="23" customWidth="1"/>
    <col min="14092" max="14333" width="11.42578125" style="23"/>
    <col min="14334" max="14334" width="36.7109375" style="23" customWidth="1"/>
    <col min="14335" max="14335" width="12.7109375" style="23" customWidth="1"/>
    <col min="14336" max="14336" width="10.7109375" style="23" customWidth="1"/>
    <col min="14337" max="14337" width="12.7109375" style="23" customWidth="1"/>
    <col min="14338" max="14339" width="10.7109375" style="23" customWidth="1"/>
    <col min="14340" max="14346" width="11.42578125" style="23"/>
    <col min="14347" max="14347" width="13.28515625" style="23" customWidth="1"/>
    <col min="14348" max="14589" width="11.42578125" style="23"/>
    <col min="14590" max="14590" width="36.7109375" style="23" customWidth="1"/>
    <col min="14591" max="14591" width="12.7109375" style="23" customWidth="1"/>
    <col min="14592" max="14592" width="10.7109375" style="23" customWidth="1"/>
    <col min="14593" max="14593" width="12.7109375" style="23" customWidth="1"/>
    <col min="14594" max="14595" width="10.7109375" style="23" customWidth="1"/>
    <col min="14596" max="14602" width="11.42578125" style="23"/>
    <col min="14603" max="14603" width="13.28515625" style="23" customWidth="1"/>
    <col min="14604" max="14845" width="11.42578125" style="23"/>
    <col min="14846" max="14846" width="36.7109375" style="23" customWidth="1"/>
    <col min="14847" max="14847" width="12.7109375" style="23" customWidth="1"/>
    <col min="14848" max="14848" width="10.7109375" style="23" customWidth="1"/>
    <col min="14849" max="14849" width="12.7109375" style="23" customWidth="1"/>
    <col min="14850" max="14851" width="10.7109375" style="23" customWidth="1"/>
    <col min="14852" max="14858" width="11.42578125" style="23"/>
    <col min="14859" max="14859" width="13.28515625" style="23" customWidth="1"/>
    <col min="14860" max="15101" width="11.42578125" style="23"/>
    <col min="15102" max="15102" width="36.7109375" style="23" customWidth="1"/>
    <col min="15103" max="15103" width="12.7109375" style="23" customWidth="1"/>
    <col min="15104" max="15104" width="10.7109375" style="23" customWidth="1"/>
    <col min="15105" max="15105" width="12.7109375" style="23" customWidth="1"/>
    <col min="15106" max="15107" width="10.7109375" style="23" customWidth="1"/>
    <col min="15108" max="15114" width="11.42578125" style="23"/>
    <col min="15115" max="15115" width="13.28515625" style="23" customWidth="1"/>
    <col min="15116" max="15357" width="11.42578125" style="23"/>
    <col min="15358" max="15358" width="36.7109375" style="23" customWidth="1"/>
    <col min="15359" max="15359" width="12.7109375" style="23" customWidth="1"/>
    <col min="15360" max="15360" width="10.7109375" style="23" customWidth="1"/>
    <col min="15361" max="15361" width="12.7109375" style="23" customWidth="1"/>
    <col min="15362" max="15363" width="10.7109375" style="23" customWidth="1"/>
    <col min="15364" max="15370" width="11.42578125" style="23"/>
    <col min="15371" max="15371" width="13.28515625" style="23" customWidth="1"/>
    <col min="15372" max="15613" width="11.42578125" style="23"/>
    <col min="15614" max="15614" width="36.7109375" style="23" customWidth="1"/>
    <col min="15615" max="15615" width="12.7109375" style="23" customWidth="1"/>
    <col min="15616" max="15616" width="10.7109375" style="23" customWidth="1"/>
    <col min="15617" max="15617" width="12.7109375" style="23" customWidth="1"/>
    <col min="15618" max="15619" width="10.7109375" style="23" customWidth="1"/>
    <col min="15620" max="15626" width="11.42578125" style="23"/>
    <col min="15627" max="15627" width="13.28515625" style="23" customWidth="1"/>
    <col min="15628" max="15869" width="11.42578125" style="23"/>
    <col min="15870" max="15870" width="36.7109375" style="23" customWidth="1"/>
    <col min="15871" max="15871" width="12.7109375" style="23" customWidth="1"/>
    <col min="15872" max="15872" width="10.7109375" style="23" customWidth="1"/>
    <col min="15873" max="15873" width="12.7109375" style="23" customWidth="1"/>
    <col min="15874" max="15875" width="10.7109375" style="23" customWidth="1"/>
    <col min="15876" max="15882" width="11.42578125" style="23"/>
    <col min="15883" max="15883" width="13.28515625" style="23" customWidth="1"/>
    <col min="15884" max="16125" width="11.42578125" style="23"/>
    <col min="16126" max="16126" width="36.7109375" style="23" customWidth="1"/>
    <col min="16127" max="16127" width="12.7109375" style="23" customWidth="1"/>
    <col min="16128" max="16128" width="10.7109375" style="23" customWidth="1"/>
    <col min="16129" max="16129" width="12.7109375" style="23" customWidth="1"/>
    <col min="16130" max="16131" width="10.7109375" style="23" customWidth="1"/>
    <col min="16132" max="16138" width="11.42578125" style="23"/>
    <col min="16139" max="16139" width="13.28515625" style="23" customWidth="1"/>
    <col min="16140" max="16384" width="11.42578125" style="23"/>
  </cols>
  <sheetData>
    <row r="1" spans="2:10" ht="26.25">
      <c r="B1" s="26"/>
    </row>
    <row r="7" spans="2:10" ht="52.5" customHeight="1">
      <c r="B7" s="447" t="s">
        <v>321</v>
      </c>
      <c r="C7" s="448"/>
      <c r="D7" s="448"/>
      <c r="E7" s="449"/>
      <c r="G7" s="447" t="s">
        <v>322</v>
      </c>
      <c r="H7" s="448"/>
      <c r="I7" s="448"/>
      <c r="J7" s="449"/>
    </row>
    <row r="8" spans="2:10" ht="41.25" customHeight="1">
      <c r="B8" s="30" t="s">
        <v>238</v>
      </c>
      <c r="C8" s="329" t="str">
        <f>actualizaciones!$A$3</f>
        <v>acumulado julio 2009</v>
      </c>
      <c r="D8" s="329" t="str">
        <f>actualizaciones!$A$2</f>
        <v xml:space="preserve">acumulado julio 2010 </v>
      </c>
      <c r="E8" s="330" t="s">
        <v>28</v>
      </c>
      <c r="G8" s="30" t="s">
        <v>238</v>
      </c>
      <c r="H8" s="329" t="str">
        <f>actualizaciones!$A$3</f>
        <v>acumulado julio 2009</v>
      </c>
      <c r="I8" s="329" t="str">
        <f>actualizaciones!$A$2</f>
        <v xml:space="preserve">acumulado julio 2010 </v>
      </c>
      <c r="J8" s="330" t="s">
        <v>28</v>
      </c>
    </row>
    <row r="9" spans="2:10">
      <c r="B9" s="98" t="s">
        <v>239</v>
      </c>
      <c r="C9" s="99"/>
      <c r="D9" s="99"/>
      <c r="E9" s="100"/>
      <c r="G9" s="98" t="s">
        <v>239</v>
      </c>
      <c r="H9" s="99"/>
      <c r="I9" s="99"/>
      <c r="J9" s="100"/>
    </row>
    <row r="10" spans="2:10">
      <c r="B10" s="33" t="s">
        <v>323</v>
      </c>
      <c r="C10" s="463">
        <f>'[1]tabla dinámica municipios'!$K$311*100</f>
        <v>55.615451674608849</v>
      </c>
      <c r="D10" s="463">
        <f>'[1]tabla dinámica municipios'!$U$311*100</f>
        <v>57.336689255463426</v>
      </c>
      <c r="E10" s="36">
        <f>(D10-C10)/C10</f>
        <v>3.094890950315532E-2</v>
      </c>
      <c r="G10" s="33" t="s">
        <v>323</v>
      </c>
      <c r="H10" s="463">
        <f>'[1]tabla dinámica municipios'!$K$338*100</f>
        <v>56.222793180322093</v>
      </c>
      <c r="I10" s="463">
        <f>'[1]tabla dinámica municipios'!$U$338*100</f>
        <v>56.991904181811258</v>
      </c>
      <c r="J10" s="36">
        <f>(I10-H10)/H10</f>
        <v>1.3679701024856815E-2</v>
      </c>
    </row>
    <row r="11" spans="2:10">
      <c r="B11" s="98" t="s">
        <v>241</v>
      </c>
      <c r="C11" s="99"/>
      <c r="D11" s="99"/>
      <c r="E11" s="464"/>
      <c r="G11" s="98" t="s">
        <v>241</v>
      </c>
      <c r="H11" s="99"/>
      <c r="I11" s="99"/>
      <c r="J11" s="464"/>
    </row>
    <row r="12" spans="2:10">
      <c r="B12" s="111" t="s">
        <v>242</v>
      </c>
      <c r="C12" s="465">
        <f>'[1]tabla dinámica municipios'!$J$311*100</f>
        <v>66.215013478371304</v>
      </c>
      <c r="D12" s="465">
        <f>'[1]tabla dinámica municipios'!$T$311*100</f>
        <v>69.815886269859277</v>
      </c>
      <c r="E12" s="227">
        <f>(D12-C12)/C12</f>
        <v>5.4381515646208758E-2</v>
      </c>
      <c r="G12" s="111" t="s">
        <v>242</v>
      </c>
      <c r="H12" s="465">
        <f>'[1]tabla dinámica municipios'!$J$338*100</f>
        <v>64.814816537400404</v>
      </c>
      <c r="I12" s="465">
        <f>'[1]tabla dinámica municipios'!$T$338*100</f>
        <v>66.642848288749178</v>
      </c>
      <c r="J12" s="227">
        <f>(I12-H12)/H12</f>
        <v>2.8203917699804591E-2</v>
      </c>
    </row>
    <row r="13" spans="2:10">
      <c r="B13" s="111" t="s">
        <v>243</v>
      </c>
      <c r="C13" s="466">
        <f>'[1]tabla dinámica municipios'!$H$311*100</f>
        <v>60.808670061779935</v>
      </c>
      <c r="D13" s="466">
        <f>'[1]tabla dinámica municipios'!$R$311*100</f>
        <v>65.362406238641242</v>
      </c>
      <c r="E13" s="40">
        <f>(D13-C13)/C13</f>
        <v>7.4886297829484444E-2</v>
      </c>
      <c r="G13" s="111" t="s">
        <v>243</v>
      </c>
      <c r="H13" s="466">
        <f>'[1]tabla dinámica municipios'!$H$338*100</f>
        <v>60.720066261901685</v>
      </c>
      <c r="I13" s="466">
        <f>'[1]tabla dinámica municipios'!$R$338*100</f>
        <v>65.21896063039992</v>
      </c>
      <c r="J13" s="40">
        <f>(I13-H13)/H13</f>
        <v>7.4092382394533543E-2</v>
      </c>
    </row>
    <row r="14" spans="2:10">
      <c r="B14" s="111" t="s">
        <v>244</v>
      </c>
      <c r="C14" s="466">
        <f>'[1]tabla dinámica municipios'!$F$311*100</f>
        <v>68.555698158423098</v>
      </c>
      <c r="D14" s="466">
        <f>'[1]tabla dinámica municipios'!$P$311*100</f>
        <v>72.957887808063489</v>
      </c>
      <c r="E14" s="40">
        <f>(D14-C14)/C14</f>
        <v>6.4213329714293277E-2</v>
      </c>
      <c r="G14" s="111" t="s">
        <v>244</v>
      </c>
      <c r="H14" s="466">
        <f>'[1]tabla dinámica municipios'!$F$338*100</f>
        <v>71.387114299494897</v>
      </c>
      <c r="I14" s="466">
        <f>'[1]tabla dinámica municipios'!$P$338*100</f>
        <v>74.220568695189996</v>
      </c>
      <c r="J14" s="40">
        <f>(I14-H14)/H14</f>
        <v>3.9691398419716591E-2</v>
      </c>
    </row>
    <row r="15" spans="2:10">
      <c r="B15" s="111" t="s">
        <v>245</v>
      </c>
      <c r="C15" s="466">
        <f>'[1]tabla dinámica municipios'!$E$311*100</f>
        <v>62.37064566418772</v>
      </c>
      <c r="D15" s="466">
        <f>'[1]tabla dinámica municipios'!$O$311*100</f>
        <v>61.985202958174767</v>
      </c>
      <c r="E15" s="40">
        <f>(D15-C15)/C15</f>
        <v>-6.1798735913081585E-3</v>
      </c>
      <c r="G15" s="111" t="s">
        <v>245</v>
      </c>
      <c r="H15" s="466">
        <f>'[1]tabla dinámica municipios'!$E$338*100</f>
        <v>57.568979584922594</v>
      </c>
      <c r="I15" s="466">
        <f>'[1]tabla dinámica municipios'!$O$338*100</f>
        <v>56.756159672952208</v>
      </c>
      <c r="J15" s="40">
        <f>(I15-H15)/H15</f>
        <v>-1.4119060609218533E-2</v>
      </c>
    </row>
    <row r="16" spans="2:10">
      <c r="B16" s="111" t="s">
        <v>246</v>
      </c>
      <c r="C16" s="467">
        <f>'[1]tabla dinámica municipios'!$C$311*100</f>
        <v>69.193095142513044</v>
      </c>
      <c r="D16" s="467">
        <f>'[1]tabla dinámica municipios'!$M$311*100</f>
        <v>69.971898835808915</v>
      </c>
      <c r="E16" s="332">
        <f>(D16-C16)/C16</f>
        <v>1.125551171965661E-2</v>
      </c>
      <c r="G16" s="111" t="s">
        <v>246</v>
      </c>
      <c r="H16" s="467">
        <f>'[1]tabla dinámica municipios'!$C$338*100</f>
        <v>47.04599524187153</v>
      </c>
      <c r="I16" s="467">
        <f>'[1]tabla dinámica municipios'!$M$338*100</f>
        <v>46.190968931245273</v>
      </c>
      <c r="J16" s="332">
        <f>(I16-H16)/H16</f>
        <v>-1.8174263425195295E-2</v>
      </c>
    </row>
    <row r="17" spans="2:12">
      <c r="B17" s="98" t="s">
        <v>247</v>
      </c>
      <c r="C17" s="107"/>
      <c r="D17" s="107"/>
      <c r="E17" s="468"/>
      <c r="G17" s="98" t="s">
        <v>247</v>
      </c>
      <c r="H17" s="107"/>
      <c r="I17" s="107"/>
      <c r="J17" s="468"/>
    </row>
    <row r="18" spans="2:12">
      <c r="B18" s="337" t="s">
        <v>248</v>
      </c>
      <c r="C18" s="467">
        <f>'[1]tabla dinámica municipios'!$I$311*100</f>
        <v>44.204648752749911</v>
      </c>
      <c r="D18" s="467">
        <f>'[1]tabla dinámica municipios'!$S$311*100</f>
        <v>43.885093047549042</v>
      </c>
      <c r="E18" s="332">
        <f>(D18-C18)/C18</f>
        <v>-7.2290067723022088E-3</v>
      </c>
      <c r="G18" s="337" t="s">
        <v>248</v>
      </c>
      <c r="H18" s="467">
        <f>'[1]tabla dinámica municipios'!$I$338*100</f>
        <v>51.246327299783125</v>
      </c>
      <c r="I18" s="467">
        <f>'[1]tabla dinámica municipios'!$S$338*100</f>
        <v>51.081542657664549</v>
      </c>
      <c r="J18" s="332">
        <f>(I18-H18)/H18</f>
        <v>-3.2155405236088696E-3</v>
      </c>
    </row>
    <row r="19" spans="2:12">
      <c r="B19" s="458" t="s">
        <v>90</v>
      </c>
      <c r="C19" s="459"/>
      <c r="D19" s="459"/>
      <c r="E19" s="460"/>
      <c r="G19" s="458" t="s">
        <v>90</v>
      </c>
      <c r="H19" s="459"/>
      <c r="I19" s="459"/>
      <c r="J19" s="460"/>
    </row>
    <row r="20" spans="2:12" ht="20.100000000000001" customHeight="1" thickBot="1"/>
    <row r="21" spans="2:12" ht="51.75" customHeight="1" thickBot="1">
      <c r="B21" s="447" t="s">
        <v>324</v>
      </c>
      <c r="C21" s="448"/>
      <c r="D21" s="448"/>
      <c r="E21" s="449"/>
      <c r="G21" s="447" t="s">
        <v>325</v>
      </c>
      <c r="H21" s="448"/>
      <c r="I21" s="448"/>
      <c r="J21" s="449"/>
      <c r="L21" s="60" t="s">
        <v>49</v>
      </c>
    </row>
    <row r="22" spans="2:12" ht="33.75" customHeight="1">
      <c r="B22" s="30" t="s">
        <v>238</v>
      </c>
      <c r="C22" s="329" t="str">
        <f>actualizaciones!$A$3</f>
        <v>acumulado julio 2009</v>
      </c>
      <c r="D22" s="329" t="str">
        <f>actualizaciones!$A$2</f>
        <v xml:space="preserve">acumulado julio 2010 </v>
      </c>
      <c r="E22" s="330" t="s">
        <v>28</v>
      </c>
      <c r="G22" s="30" t="s">
        <v>238</v>
      </c>
      <c r="H22" s="329" t="str">
        <f>actualizaciones!$A$3</f>
        <v>acumulado julio 2009</v>
      </c>
      <c r="I22" s="329" t="str">
        <f>actualizaciones!$A$2</f>
        <v xml:space="preserve">acumulado julio 2010 </v>
      </c>
      <c r="J22" s="330" t="s">
        <v>28</v>
      </c>
    </row>
    <row r="23" spans="2:12">
      <c r="B23" s="98" t="s">
        <v>239</v>
      </c>
      <c r="C23" s="99"/>
      <c r="D23" s="99"/>
      <c r="E23" s="100"/>
      <c r="G23" s="98" t="s">
        <v>239</v>
      </c>
      <c r="H23" s="99"/>
      <c r="I23" s="99"/>
      <c r="J23" s="100"/>
    </row>
    <row r="24" spans="2:12">
      <c r="B24" s="33" t="s">
        <v>323</v>
      </c>
      <c r="C24" s="463">
        <f>'[1]tabla dinámica municipios'!$K$365*100</f>
        <v>55.055308525715972</v>
      </c>
      <c r="D24" s="463">
        <f>'[1]tabla dinámica municipios'!$U$365*100</f>
        <v>53.995217413409314</v>
      </c>
      <c r="E24" s="36">
        <f>(D24-C24)/C24</f>
        <v>-1.9255020827128714E-2</v>
      </c>
      <c r="G24" s="33" t="s">
        <v>323</v>
      </c>
      <c r="H24" s="463">
        <f>'[1]tabla dinámica municipios'!K392*100</f>
        <v>41.859501432611275</v>
      </c>
      <c r="I24" s="463">
        <f>'[1]tabla dinámica municipios'!$U$392*100</f>
        <v>37.709338935825123</v>
      </c>
      <c r="J24" s="36">
        <f>(I24-H24)/H24</f>
        <v>-9.9145053207750466E-2</v>
      </c>
    </row>
    <row r="25" spans="2:12">
      <c r="B25" s="98" t="s">
        <v>241</v>
      </c>
      <c r="C25" s="99"/>
      <c r="D25" s="99"/>
      <c r="E25" s="464"/>
      <c r="G25" s="98" t="s">
        <v>241</v>
      </c>
      <c r="H25" s="99"/>
      <c r="I25" s="99"/>
      <c r="J25" s="464"/>
    </row>
    <row r="26" spans="2:12">
      <c r="B26" s="111" t="s">
        <v>242</v>
      </c>
      <c r="C26" s="465">
        <f>'[1]tabla dinámica municipios'!$J$365*100</f>
        <v>59.624365206741246</v>
      </c>
      <c r="D26" s="465">
        <f>'[1]tabla dinámica municipios'!$T$365*100</f>
        <v>59.811096091345739</v>
      </c>
      <c r="E26" s="227">
        <f>(D26-C26)/C26</f>
        <v>3.1317882204200194E-3</v>
      </c>
      <c r="G26" s="111" t="s">
        <v>242</v>
      </c>
      <c r="H26" s="465">
        <f>'[1]tabla dinámica municipios'!$J$392*100</f>
        <v>41.859501432611275</v>
      </c>
      <c r="I26" s="465">
        <f>'[1]tabla dinámica municipios'!$T$392*100</f>
        <v>37.709338935825123</v>
      </c>
      <c r="J26" s="227">
        <f>(I26-H26)/H26</f>
        <v>-9.9145053207750466E-2</v>
      </c>
    </row>
    <row r="27" spans="2:12">
      <c r="B27" s="111" t="s">
        <v>312</v>
      </c>
      <c r="C27" s="466">
        <f>'[1]tabla dinámica municipios'!$G$365*100</f>
        <v>62.301000589417463</v>
      </c>
      <c r="D27" s="466">
        <f>'[1]tabla dinámica municipios'!$Q$365*100</f>
        <v>63.245450507198356</v>
      </c>
      <c r="E27" s="40">
        <f>(D27-C27)/C27</f>
        <v>1.5159466282172669E-2</v>
      </c>
      <c r="G27" s="111" t="s">
        <v>312</v>
      </c>
      <c r="H27" s="466">
        <f>'[1]tabla dinámica municipios'!$G$392*100</f>
        <v>32.173405211141059</v>
      </c>
      <c r="I27" s="466">
        <f>'[1]tabla dinámica municipios'!$Q$392*100</f>
        <v>26.802316237526359</v>
      </c>
      <c r="J27" s="40">
        <f>(I27-H27)/H27</f>
        <v>-0.16694188688969705</v>
      </c>
    </row>
    <row r="28" spans="2:12">
      <c r="B28" s="111" t="s">
        <v>245</v>
      </c>
      <c r="C28" s="466">
        <f>'[1]tabla dinámica municipios'!$E$365*100</f>
        <v>52.323487535576355</v>
      </c>
      <c r="D28" s="466">
        <f>'[1]tabla dinámica municipios'!$O$365*100</f>
        <v>49.170663407864112</v>
      </c>
      <c r="E28" s="40">
        <f>(D28-C28)/C28</f>
        <v>-6.0256383437142659E-2</v>
      </c>
      <c r="G28" s="111" t="s">
        <v>245</v>
      </c>
      <c r="H28" s="466">
        <f>'[1]tabla dinámica municipios'!$E$392*100</f>
        <v>46.6590761223162</v>
      </c>
      <c r="I28" s="466">
        <f>'[1]tabla dinámica municipios'!$O$392*100</f>
        <v>47.711450878334418</v>
      </c>
      <c r="J28" s="40">
        <f>(I28-H28)/H28</f>
        <v>2.2554556229519625E-2</v>
      </c>
    </row>
    <row r="29" spans="2:12">
      <c r="B29" s="111" t="s">
        <v>246</v>
      </c>
      <c r="C29" s="467">
        <f>'[1]tabla dinámica municipios'!$C$365*100</f>
        <v>27.000607010976779</v>
      </c>
      <c r="D29" s="467">
        <f>'[1]tabla dinámica municipios'!$M$365*100</f>
        <v>28.176690778491576</v>
      </c>
      <c r="E29" s="332">
        <f>(D29-C29)/C29</f>
        <v>4.355767879724607E-2</v>
      </c>
      <c r="G29" s="111" t="s">
        <v>313</v>
      </c>
      <c r="H29" s="466">
        <f>'[1]tabla dinámica municipios'!$D$392*100</f>
        <v>52.776300319131067</v>
      </c>
      <c r="I29" s="466">
        <f>'[1]tabla dinámica municipios'!$N$392*100</f>
        <v>43.23316163708639</v>
      </c>
      <c r="J29" s="40">
        <f>(I29-H29)/H29</f>
        <v>-0.18082242643646151</v>
      </c>
    </row>
    <row r="30" spans="2:12">
      <c r="B30" s="98" t="s">
        <v>247</v>
      </c>
      <c r="C30" s="107"/>
      <c r="D30" s="107"/>
      <c r="E30" s="468"/>
      <c r="G30" s="111" t="s">
        <v>314</v>
      </c>
      <c r="H30" s="467">
        <f>'[1]tabla dinámica municipios'!$B$392*100</f>
        <v>41.988284306469012</v>
      </c>
      <c r="I30" s="467">
        <f>'[1]tabla dinámica municipios'!$L$392*100</f>
        <v>42.908018867924532</v>
      </c>
      <c r="J30" s="332">
        <f>(I30-H30)/H30</f>
        <v>2.1904552106546054E-2</v>
      </c>
    </row>
    <row r="31" spans="2:12">
      <c r="B31" s="337" t="s">
        <v>248</v>
      </c>
      <c r="C31" s="467">
        <f>'[1]tabla dinámica municipios'!$I$365*100</f>
        <v>48.597891400732699</v>
      </c>
      <c r="D31" s="467">
        <f>'[1]tabla dinámica municipios'!$S$365*100</f>
        <v>44.995128586186198</v>
      </c>
      <c r="E31" s="332">
        <f>(D31-C31)/C31</f>
        <v>-7.4134138554253895E-2</v>
      </c>
      <c r="G31" s="98" t="s">
        <v>247</v>
      </c>
      <c r="H31" s="107"/>
      <c r="I31" s="107"/>
      <c r="J31" s="468"/>
    </row>
    <row r="32" spans="2:12">
      <c r="B32" s="458" t="s">
        <v>90</v>
      </c>
      <c r="C32" s="459"/>
      <c r="D32" s="459"/>
      <c r="E32" s="460"/>
      <c r="G32" s="337" t="s">
        <v>248</v>
      </c>
      <c r="H32" s="112">
        <f>GETPIVOTDATA("dato",'[1]tabla dinámica municipios'!$A$4,"indicador","Pernoctaciones","categoría","Extrahoteleros","municipio","SANTA CRUZ","año",2009)</f>
        <v>0</v>
      </c>
      <c r="I32" s="112">
        <f>GETPIVOTDATA("dato",'[1]tabla dinámica municipios'!$A$4,"indicador","Pernoctaciones","categoría","Extrahoteleros","municipio","SANTA CRUZ","año",2010)</f>
        <v>0</v>
      </c>
      <c r="J32" s="469" t="str">
        <f>IFERROR((I32-H32)/H32,"-")</f>
        <v>-</v>
      </c>
    </row>
    <row r="33" spans="7:10">
      <c r="G33" s="458" t="s">
        <v>90</v>
      </c>
      <c r="H33" s="459"/>
      <c r="I33" s="459"/>
      <c r="J33" s="460"/>
    </row>
  </sheetData>
  <mergeCells count="8">
    <mergeCell ref="B32:E32"/>
    <mergeCell ref="G33:J33"/>
    <mergeCell ref="B7:E7"/>
    <mergeCell ref="G7:J7"/>
    <mergeCell ref="B19:E19"/>
    <mergeCell ref="G19:J19"/>
    <mergeCell ref="B21:E21"/>
    <mergeCell ref="G21:J21"/>
  </mergeCells>
  <hyperlinks>
    <hyperlink ref="L21" location="'Gráfico IOa munic y ca 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colBreaks count="1" manualBreakCount="1">
    <brk id="5" max="43" man="1"/>
  </colBreaks>
  <drawing r:id="rId2"/>
  <legacyDrawingHF r:id="rId3"/>
</worksheet>
</file>

<file path=xl/worksheets/sheet84.xml><?xml version="1.0" encoding="utf-8"?>
<worksheet xmlns="http://schemas.openxmlformats.org/spreadsheetml/2006/main" xmlns:r="http://schemas.openxmlformats.org/officeDocument/2006/relationships">
  <sheetPr codeName="Hoja46">
    <tabColor rgb="FF000099"/>
    <pageSetUpPr autoPageBreaks="0" fitToPage="1"/>
  </sheetPr>
  <dimension ref="B6:S44"/>
  <sheetViews>
    <sheetView showGridLines="0" showRowColHeaders="0" showOutlineSymbols="0" zoomScaleNormal="100" workbookViewId="0">
      <selection activeCell="B25" sqref="B25"/>
    </sheetView>
  </sheetViews>
  <sheetFormatPr baseColWidth="10" defaultRowHeight="12.75"/>
  <cols>
    <col min="1" max="1" width="1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60" t="s">
        <v>51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IO municipio y categ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85.xml><?xml version="1.0" encoding="utf-8"?>
<worksheet xmlns="http://schemas.openxmlformats.org/spreadsheetml/2006/main" xmlns:r="http://schemas.openxmlformats.org/officeDocument/2006/relationships">
  <sheetPr codeName="Hoja21">
    <tabColor rgb="FF000099"/>
    <pageSetUpPr autoPageBreaks="0" fitToPage="1"/>
  </sheetPr>
  <dimension ref="B6:L30"/>
  <sheetViews>
    <sheetView showGridLines="0" showRowColHeaders="0" showOutlineSymbols="0" zoomScaleNormal="100" workbookViewId="0">
      <selection activeCell="B25" sqref="B25"/>
    </sheetView>
  </sheetViews>
  <sheetFormatPr baseColWidth="10" defaultRowHeight="12.75"/>
  <cols>
    <col min="1" max="1" width="13.5703125" style="23" customWidth="1"/>
    <col min="2" max="2" width="35.7109375" style="23" customWidth="1"/>
    <col min="3" max="4" width="12.85546875" style="23" customWidth="1"/>
    <col min="5" max="5" width="13.7109375" style="23" customWidth="1"/>
    <col min="6" max="6" width="10.7109375" style="23" customWidth="1"/>
    <col min="7" max="12" width="11.42578125" style="23"/>
    <col min="13" max="13" width="14.42578125" style="23" customWidth="1"/>
    <col min="14" max="256" width="11.42578125" style="23"/>
    <col min="257" max="257" width="13.5703125" style="23" customWidth="1"/>
    <col min="258" max="258" width="35.7109375" style="23" customWidth="1"/>
    <col min="259" max="260" width="12.85546875" style="23" customWidth="1"/>
    <col min="261" max="261" width="13.7109375" style="23" customWidth="1"/>
    <col min="262" max="262" width="10.7109375" style="23" customWidth="1"/>
    <col min="263" max="268" width="11.42578125" style="23"/>
    <col min="269" max="269" width="14.42578125" style="23" customWidth="1"/>
    <col min="270" max="512" width="11.42578125" style="23"/>
    <col min="513" max="513" width="13.5703125" style="23" customWidth="1"/>
    <col min="514" max="514" width="35.7109375" style="23" customWidth="1"/>
    <col min="515" max="516" width="12.85546875" style="23" customWidth="1"/>
    <col min="517" max="517" width="13.7109375" style="23" customWidth="1"/>
    <col min="518" max="518" width="10.7109375" style="23" customWidth="1"/>
    <col min="519" max="524" width="11.42578125" style="23"/>
    <col min="525" max="525" width="14.42578125" style="23" customWidth="1"/>
    <col min="526" max="768" width="11.42578125" style="23"/>
    <col min="769" max="769" width="13.5703125" style="23" customWidth="1"/>
    <col min="770" max="770" width="35.7109375" style="23" customWidth="1"/>
    <col min="771" max="772" width="12.85546875" style="23" customWidth="1"/>
    <col min="773" max="773" width="13.7109375" style="23" customWidth="1"/>
    <col min="774" max="774" width="10.7109375" style="23" customWidth="1"/>
    <col min="775" max="780" width="11.42578125" style="23"/>
    <col min="781" max="781" width="14.42578125" style="23" customWidth="1"/>
    <col min="782" max="1024" width="11.42578125" style="23"/>
    <col min="1025" max="1025" width="13.5703125" style="23" customWidth="1"/>
    <col min="1026" max="1026" width="35.7109375" style="23" customWidth="1"/>
    <col min="1027" max="1028" width="12.85546875" style="23" customWidth="1"/>
    <col min="1029" max="1029" width="13.7109375" style="23" customWidth="1"/>
    <col min="1030" max="1030" width="10.7109375" style="23" customWidth="1"/>
    <col min="1031" max="1036" width="11.42578125" style="23"/>
    <col min="1037" max="1037" width="14.42578125" style="23" customWidth="1"/>
    <col min="1038" max="1280" width="11.42578125" style="23"/>
    <col min="1281" max="1281" width="13.5703125" style="23" customWidth="1"/>
    <col min="1282" max="1282" width="35.7109375" style="23" customWidth="1"/>
    <col min="1283" max="1284" width="12.85546875" style="23" customWidth="1"/>
    <col min="1285" max="1285" width="13.7109375" style="23" customWidth="1"/>
    <col min="1286" max="1286" width="10.7109375" style="23" customWidth="1"/>
    <col min="1287" max="1292" width="11.42578125" style="23"/>
    <col min="1293" max="1293" width="14.42578125" style="23" customWidth="1"/>
    <col min="1294" max="1536" width="11.42578125" style="23"/>
    <col min="1537" max="1537" width="13.5703125" style="23" customWidth="1"/>
    <col min="1538" max="1538" width="35.7109375" style="23" customWidth="1"/>
    <col min="1539" max="1540" width="12.85546875" style="23" customWidth="1"/>
    <col min="1541" max="1541" width="13.7109375" style="23" customWidth="1"/>
    <col min="1542" max="1542" width="10.7109375" style="23" customWidth="1"/>
    <col min="1543" max="1548" width="11.42578125" style="23"/>
    <col min="1549" max="1549" width="14.42578125" style="23" customWidth="1"/>
    <col min="1550" max="1792" width="11.42578125" style="23"/>
    <col min="1793" max="1793" width="13.5703125" style="23" customWidth="1"/>
    <col min="1794" max="1794" width="35.7109375" style="23" customWidth="1"/>
    <col min="1795" max="1796" width="12.85546875" style="23" customWidth="1"/>
    <col min="1797" max="1797" width="13.7109375" style="23" customWidth="1"/>
    <col min="1798" max="1798" width="10.7109375" style="23" customWidth="1"/>
    <col min="1799" max="1804" width="11.42578125" style="23"/>
    <col min="1805" max="1805" width="14.42578125" style="23" customWidth="1"/>
    <col min="1806" max="2048" width="11.42578125" style="23"/>
    <col min="2049" max="2049" width="13.5703125" style="23" customWidth="1"/>
    <col min="2050" max="2050" width="35.7109375" style="23" customWidth="1"/>
    <col min="2051" max="2052" width="12.85546875" style="23" customWidth="1"/>
    <col min="2053" max="2053" width="13.7109375" style="23" customWidth="1"/>
    <col min="2054" max="2054" width="10.7109375" style="23" customWidth="1"/>
    <col min="2055" max="2060" width="11.42578125" style="23"/>
    <col min="2061" max="2061" width="14.42578125" style="23" customWidth="1"/>
    <col min="2062" max="2304" width="11.42578125" style="23"/>
    <col min="2305" max="2305" width="13.5703125" style="23" customWidth="1"/>
    <col min="2306" max="2306" width="35.7109375" style="23" customWidth="1"/>
    <col min="2307" max="2308" width="12.85546875" style="23" customWidth="1"/>
    <col min="2309" max="2309" width="13.7109375" style="23" customWidth="1"/>
    <col min="2310" max="2310" width="10.7109375" style="23" customWidth="1"/>
    <col min="2311" max="2316" width="11.42578125" style="23"/>
    <col min="2317" max="2317" width="14.42578125" style="23" customWidth="1"/>
    <col min="2318" max="2560" width="11.42578125" style="23"/>
    <col min="2561" max="2561" width="13.5703125" style="23" customWidth="1"/>
    <col min="2562" max="2562" width="35.7109375" style="23" customWidth="1"/>
    <col min="2563" max="2564" width="12.85546875" style="23" customWidth="1"/>
    <col min="2565" max="2565" width="13.7109375" style="23" customWidth="1"/>
    <col min="2566" max="2566" width="10.7109375" style="23" customWidth="1"/>
    <col min="2567" max="2572" width="11.42578125" style="23"/>
    <col min="2573" max="2573" width="14.42578125" style="23" customWidth="1"/>
    <col min="2574" max="2816" width="11.42578125" style="23"/>
    <col min="2817" max="2817" width="13.5703125" style="23" customWidth="1"/>
    <col min="2818" max="2818" width="35.7109375" style="23" customWidth="1"/>
    <col min="2819" max="2820" width="12.85546875" style="23" customWidth="1"/>
    <col min="2821" max="2821" width="13.7109375" style="23" customWidth="1"/>
    <col min="2822" max="2822" width="10.7109375" style="23" customWidth="1"/>
    <col min="2823" max="2828" width="11.42578125" style="23"/>
    <col min="2829" max="2829" width="14.42578125" style="23" customWidth="1"/>
    <col min="2830" max="3072" width="11.42578125" style="23"/>
    <col min="3073" max="3073" width="13.5703125" style="23" customWidth="1"/>
    <col min="3074" max="3074" width="35.7109375" style="23" customWidth="1"/>
    <col min="3075" max="3076" width="12.85546875" style="23" customWidth="1"/>
    <col min="3077" max="3077" width="13.7109375" style="23" customWidth="1"/>
    <col min="3078" max="3078" width="10.7109375" style="23" customWidth="1"/>
    <col min="3079" max="3084" width="11.42578125" style="23"/>
    <col min="3085" max="3085" width="14.42578125" style="23" customWidth="1"/>
    <col min="3086" max="3328" width="11.42578125" style="23"/>
    <col min="3329" max="3329" width="13.5703125" style="23" customWidth="1"/>
    <col min="3330" max="3330" width="35.7109375" style="23" customWidth="1"/>
    <col min="3331" max="3332" width="12.85546875" style="23" customWidth="1"/>
    <col min="3333" max="3333" width="13.7109375" style="23" customWidth="1"/>
    <col min="3334" max="3334" width="10.7109375" style="23" customWidth="1"/>
    <col min="3335" max="3340" width="11.42578125" style="23"/>
    <col min="3341" max="3341" width="14.42578125" style="23" customWidth="1"/>
    <col min="3342" max="3584" width="11.42578125" style="23"/>
    <col min="3585" max="3585" width="13.5703125" style="23" customWidth="1"/>
    <col min="3586" max="3586" width="35.7109375" style="23" customWidth="1"/>
    <col min="3587" max="3588" width="12.85546875" style="23" customWidth="1"/>
    <col min="3589" max="3589" width="13.7109375" style="23" customWidth="1"/>
    <col min="3590" max="3590" width="10.7109375" style="23" customWidth="1"/>
    <col min="3591" max="3596" width="11.42578125" style="23"/>
    <col min="3597" max="3597" width="14.42578125" style="23" customWidth="1"/>
    <col min="3598" max="3840" width="11.42578125" style="23"/>
    <col min="3841" max="3841" width="13.5703125" style="23" customWidth="1"/>
    <col min="3842" max="3842" width="35.7109375" style="23" customWidth="1"/>
    <col min="3843" max="3844" width="12.85546875" style="23" customWidth="1"/>
    <col min="3845" max="3845" width="13.7109375" style="23" customWidth="1"/>
    <col min="3846" max="3846" width="10.7109375" style="23" customWidth="1"/>
    <col min="3847" max="3852" width="11.42578125" style="23"/>
    <col min="3853" max="3853" width="14.42578125" style="23" customWidth="1"/>
    <col min="3854" max="4096" width="11.42578125" style="23"/>
    <col min="4097" max="4097" width="13.5703125" style="23" customWidth="1"/>
    <col min="4098" max="4098" width="35.7109375" style="23" customWidth="1"/>
    <col min="4099" max="4100" width="12.85546875" style="23" customWidth="1"/>
    <col min="4101" max="4101" width="13.7109375" style="23" customWidth="1"/>
    <col min="4102" max="4102" width="10.7109375" style="23" customWidth="1"/>
    <col min="4103" max="4108" width="11.42578125" style="23"/>
    <col min="4109" max="4109" width="14.42578125" style="23" customWidth="1"/>
    <col min="4110" max="4352" width="11.42578125" style="23"/>
    <col min="4353" max="4353" width="13.5703125" style="23" customWidth="1"/>
    <col min="4354" max="4354" width="35.7109375" style="23" customWidth="1"/>
    <col min="4355" max="4356" width="12.85546875" style="23" customWidth="1"/>
    <col min="4357" max="4357" width="13.7109375" style="23" customWidth="1"/>
    <col min="4358" max="4358" width="10.7109375" style="23" customWidth="1"/>
    <col min="4359" max="4364" width="11.42578125" style="23"/>
    <col min="4365" max="4365" width="14.42578125" style="23" customWidth="1"/>
    <col min="4366" max="4608" width="11.42578125" style="23"/>
    <col min="4609" max="4609" width="13.5703125" style="23" customWidth="1"/>
    <col min="4610" max="4610" width="35.7109375" style="23" customWidth="1"/>
    <col min="4611" max="4612" width="12.85546875" style="23" customWidth="1"/>
    <col min="4613" max="4613" width="13.7109375" style="23" customWidth="1"/>
    <col min="4614" max="4614" width="10.7109375" style="23" customWidth="1"/>
    <col min="4615" max="4620" width="11.42578125" style="23"/>
    <col min="4621" max="4621" width="14.42578125" style="23" customWidth="1"/>
    <col min="4622" max="4864" width="11.42578125" style="23"/>
    <col min="4865" max="4865" width="13.5703125" style="23" customWidth="1"/>
    <col min="4866" max="4866" width="35.7109375" style="23" customWidth="1"/>
    <col min="4867" max="4868" width="12.85546875" style="23" customWidth="1"/>
    <col min="4869" max="4869" width="13.7109375" style="23" customWidth="1"/>
    <col min="4870" max="4870" width="10.7109375" style="23" customWidth="1"/>
    <col min="4871" max="4876" width="11.42578125" style="23"/>
    <col min="4877" max="4877" width="14.42578125" style="23" customWidth="1"/>
    <col min="4878" max="5120" width="11.42578125" style="23"/>
    <col min="5121" max="5121" width="13.5703125" style="23" customWidth="1"/>
    <col min="5122" max="5122" width="35.7109375" style="23" customWidth="1"/>
    <col min="5123" max="5124" width="12.85546875" style="23" customWidth="1"/>
    <col min="5125" max="5125" width="13.7109375" style="23" customWidth="1"/>
    <col min="5126" max="5126" width="10.7109375" style="23" customWidth="1"/>
    <col min="5127" max="5132" width="11.42578125" style="23"/>
    <col min="5133" max="5133" width="14.42578125" style="23" customWidth="1"/>
    <col min="5134" max="5376" width="11.42578125" style="23"/>
    <col min="5377" max="5377" width="13.5703125" style="23" customWidth="1"/>
    <col min="5378" max="5378" width="35.7109375" style="23" customWidth="1"/>
    <col min="5379" max="5380" width="12.85546875" style="23" customWidth="1"/>
    <col min="5381" max="5381" width="13.7109375" style="23" customWidth="1"/>
    <col min="5382" max="5382" width="10.7109375" style="23" customWidth="1"/>
    <col min="5383" max="5388" width="11.42578125" style="23"/>
    <col min="5389" max="5389" width="14.42578125" style="23" customWidth="1"/>
    <col min="5390" max="5632" width="11.42578125" style="23"/>
    <col min="5633" max="5633" width="13.5703125" style="23" customWidth="1"/>
    <col min="5634" max="5634" width="35.7109375" style="23" customWidth="1"/>
    <col min="5635" max="5636" width="12.85546875" style="23" customWidth="1"/>
    <col min="5637" max="5637" width="13.7109375" style="23" customWidth="1"/>
    <col min="5638" max="5638" width="10.7109375" style="23" customWidth="1"/>
    <col min="5639" max="5644" width="11.42578125" style="23"/>
    <col min="5645" max="5645" width="14.42578125" style="23" customWidth="1"/>
    <col min="5646" max="5888" width="11.42578125" style="23"/>
    <col min="5889" max="5889" width="13.5703125" style="23" customWidth="1"/>
    <col min="5890" max="5890" width="35.7109375" style="23" customWidth="1"/>
    <col min="5891" max="5892" width="12.85546875" style="23" customWidth="1"/>
    <col min="5893" max="5893" width="13.7109375" style="23" customWidth="1"/>
    <col min="5894" max="5894" width="10.7109375" style="23" customWidth="1"/>
    <col min="5895" max="5900" width="11.42578125" style="23"/>
    <col min="5901" max="5901" width="14.42578125" style="23" customWidth="1"/>
    <col min="5902" max="6144" width="11.42578125" style="23"/>
    <col min="6145" max="6145" width="13.5703125" style="23" customWidth="1"/>
    <col min="6146" max="6146" width="35.7109375" style="23" customWidth="1"/>
    <col min="6147" max="6148" width="12.85546875" style="23" customWidth="1"/>
    <col min="6149" max="6149" width="13.7109375" style="23" customWidth="1"/>
    <col min="6150" max="6150" width="10.7109375" style="23" customWidth="1"/>
    <col min="6151" max="6156" width="11.42578125" style="23"/>
    <col min="6157" max="6157" width="14.42578125" style="23" customWidth="1"/>
    <col min="6158" max="6400" width="11.42578125" style="23"/>
    <col min="6401" max="6401" width="13.5703125" style="23" customWidth="1"/>
    <col min="6402" max="6402" width="35.7109375" style="23" customWidth="1"/>
    <col min="6403" max="6404" width="12.85546875" style="23" customWidth="1"/>
    <col min="6405" max="6405" width="13.7109375" style="23" customWidth="1"/>
    <col min="6406" max="6406" width="10.7109375" style="23" customWidth="1"/>
    <col min="6407" max="6412" width="11.42578125" style="23"/>
    <col min="6413" max="6413" width="14.42578125" style="23" customWidth="1"/>
    <col min="6414" max="6656" width="11.42578125" style="23"/>
    <col min="6657" max="6657" width="13.5703125" style="23" customWidth="1"/>
    <col min="6658" max="6658" width="35.7109375" style="23" customWidth="1"/>
    <col min="6659" max="6660" width="12.85546875" style="23" customWidth="1"/>
    <col min="6661" max="6661" width="13.7109375" style="23" customWidth="1"/>
    <col min="6662" max="6662" width="10.7109375" style="23" customWidth="1"/>
    <col min="6663" max="6668" width="11.42578125" style="23"/>
    <col min="6669" max="6669" width="14.42578125" style="23" customWidth="1"/>
    <col min="6670" max="6912" width="11.42578125" style="23"/>
    <col min="6913" max="6913" width="13.5703125" style="23" customWidth="1"/>
    <col min="6914" max="6914" width="35.7109375" style="23" customWidth="1"/>
    <col min="6915" max="6916" width="12.85546875" style="23" customWidth="1"/>
    <col min="6917" max="6917" width="13.7109375" style="23" customWidth="1"/>
    <col min="6918" max="6918" width="10.7109375" style="23" customWidth="1"/>
    <col min="6919" max="6924" width="11.42578125" style="23"/>
    <col min="6925" max="6925" width="14.42578125" style="23" customWidth="1"/>
    <col min="6926" max="7168" width="11.42578125" style="23"/>
    <col min="7169" max="7169" width="13.5703125" style="23" customWidth="1"/>
    <col min="7170" max="7170" width="35.7109375" style="23" customWidth="1"/>
    <col min="7171" max="7172" width="12.85546875" style="23" customWidth="1"/>
    <col min="7173" max="7173" width="13.7109375" style="23" customWidth="1"/>
    <col min="7174" max="7174" width="10.7109375" style="23" customWidth="1"/>
    <col min="7175" max="7180" width="11.42578125" style="23"/>
    <col min="7181" max="7181" width="14.42578125" style="23" customWidth="1"/>
    <col min="7182" max="7424" width="11.42578125" style="23"/>
    <col min="7425" max="7425" width="13.5703125" style="23" customWidth="1"/>
    <col min="7426" max="7426" width="35.7109375" style="23" customWidth="1"/>
    <col min="7427" max="7428" width="12.85546875" style="23" customWidth="1"/>
    <col min="7429" max="7429" width="13.7109375" style="23" customWidth="1"/>
    <col min="7430" max="7430" width="10.7109375" style="23" customWidth="1"/>
    <col min="7431" max="7436" width="11.42578125" style="23"/>
    <col min="7437" max="7437" width="14.42578125" style="23" customWidth="1"/>
    <col min="7438" max="7680" width="11.42578125" style="23"/>
    <col min="7681" max="7681" width="13.5703125" style="23" customWidth="1"/>
    <col min="7682" max="7682" width="35.7109375" style="23" customWidth="1"/>
    <col min="7683" max="7684" width="12.85546875" style="23" customWidth="1"/>
    <col min="7685" max="7685" width="13.7109375" style="23" customWidth="1"/>
    <col min="7686" max="7686" width="10.7109375" style="23" customWidth="1"/>
    <col min="7687" max="7692" width="11.42578125" style="23"/>
    <col min="7693" max="7693" width="14.42578125" style="23" customWidth="1"/>
    <col min="7694" max="7936" width="11.42578125" style="23"/>
    <col min="7937" max="7937" width="13.5703125" style="23" customWidth="1"/>
    <col min="7938" max="7938" width="35.7109375" style="23" customWidth="1"/>
    <col min="7939" max="7940" width="12.85546875" style="23" customWidth="1"/>
    <col min="7941" max="7941" width="13.7109375" style="23" customWidth="1"/>
    <col min="7942" max="7942" width="10.7109375" style="23" customWidth="1"/>
    <col min="7943" max="7948" width="11.42578125" style="23"/>
    <col min="7949" max="7949" width="14.42578125" style="23" customWidth="1"/>
    <col min="7950" max="8192" width="11.42578125" style="23"/>
    <col min="8193" max="8193" width="13.5703125" style="23" customWidth="1"/>
    <col min="8194" max="8194" width="35.7109375" style="23" customWidth="1"/>
    <col min="8195" max="8196" width="12.85546875" style="23" customWidth="1"/>
    <col min="8197" max="8197" width="13.7109375" style="23" customWidth="1"/>
    <col min="8198" max="8198" width="10.7109375" style="23" customWidth="1"/>
    <col min="8199" max="8204" width="11.42578125" style="23"/>
    <col min="8205" max="8205" width="14.42578125" style="23" customWidth="1"/>
    <col min="8206" max="8448" width="11.42578125" style="23"/>
    <col min="8449" max="8449" width="13.5703125" style="23" customWidth="1"/>
    <col min="8450" max="8450" width="35.7109375" style="23" customWidth="1"/>
    <col min="8451" max="8452" width="12.85546875" style="23" customWidth="1"/>
    <col min="8453" max="8453" width="13.7109375" style="23" customWidth="1"/>
    <col min="8454" max="8454" width="10.7109375" style="23" customWidth="1"/>
    <col min="8455" max="8460" width="11.42578125" style="23"/>
    <col min="8461" max="8461" width="14.42578125" style="23" customWidth="1"/>
    <col min="8462" max="8704" width="11.42578125" style="23"/>
    <col min="8705" max="8705" width="13.5703125" style="23" customWidth="1"/>
    <col min="8706" max="8706" width="35.7109375" style="23" customWidth="1"/>
    <col min="8707" max="8708" width="12.85546875" style="23" customWidth="1"/>
    <col min="8709" max="8709" width="13.7109375" style="23" customWidth="1"/>
    <col min="8710" max="8710" width="10.7109375" style="23" customWidth="1"/>
    <col min="8711" max="8716" width="11.42578125" style="23"/>
    <col min="8717" max="8717" width="14.42578125" style="23" customWidth="1"/>
    <col min="8718" max="8960" width="11.42578125" style="23"/>
    <col min="8961" max="8961" width="13.5703125" style="23" customWidth="1"/>
    <col min="8962" max="8962" width="35.7109375" style="23" customWidth="1"/>
    <col min="8963" max="8964" width="12.85546875" style="23" customWidth="1"/>
    <col min="8965" max="8965" width="13.7109375" style="23" customWidth="1"/>
    <col min="8966" max="8966" width="10.7109375" style="23" customWidth="1"/>
    <col min="8967" max="8972" width="11.42578125" style="23"/>
    <col min="8973" max="8973" width="14.42578125" style="23" customWidth="1"/>
    <col min="8974" max="9216" width="11.42578125" style="23"/>
    <col min="9217" max="9217" width="13.5703125" style="23" customWidth="1"/>
    <col min="9218" max="9218" width="35.7109375" style="23" customWidth="1"/>
    <col min="9219" max="9220" width="12.85546875" style="23" customWidth="1"/>
    <col min="9221" max="9221" width="13.7109375" style="23" customWidth="1"/>
    <col min="9222" max="9222" width="10.7109375" style="23" customWidth="1"/>
    <col min="9223" max="9228" width="11.42578125" style="23"/>
    <col min="9229" max="9229" width="14.42578125" style="23" customWidth="1"/>
    <col min="9230" max="9472" width="11.42578125" style="23"/>
    <col min="9473" max="9473" width="13.5703125" style="23" customWidth="1"/>
    <col min="9474" max="9474" width="35.7109375" style="23" customWidth="1"/>
    <col min="9475" max="9476" width="12.85546875" style="23" customWidth="1"/>
    <col min="9477" max="9477" width="13.7109375" style="23" customWidth="1"/>
    <col min="9478" max="9478" width="10.7109375" style="23" customWidth="1"/>
    <col min="9479" max="9484" width="11.42578125" style="23"/>
    <col min="9485" max="9485" width="14.42578125" style="23" customWidth="1"/>
    <col min="9486" max="9728" width="11.42578125" style="23"/>
    <col min="9729" max="9729" width="13.5703125" style="23" customWidth="1"/>
    <col min="9730" max="9730" width="35.7109375" style="23" customWidth="1"/>
    <col min="9731" max="9732" width="12.85546875" style="23" customWidth="1"/>
    <col min="9733" max="9733" width="13.7109375" style="23" customWidth="1"/>
    <col min="9734" max="9734" width="10.7109375" style="23" customWidth="1"/>
    <col min="9735" max="9740" width="11.42578125" style="23"/>
    <col min="9741" max="9741" width="14.42578125" style="23" customWidth="1"/>
    <col min="9742" max="9984" width="11.42578125" style="23"/>
    <col min="9985" max="9985" width="13.5703125" style="23" customWidth="1"/>
    <col min="9986" max="9986" width="35.7109375" style="23" customWidth="1"/>
    <col min="9987" max="9988" width="12.85546875" style="23" customWidth="1"/>
    <col min="9989" max="9989" width="13.7109375" style="23" customWidth="1"/>
    <col min="9990" max="9990" width="10.7109375" style="23" customWidth="1"/>
    <col min="9991" max="9996" width="11.42578125" style="23"/>
    <col min="9997" max="9997" width="14.42578125" style="23" customWidth="1"/>
    <col min="9998" max="10240" width="11.42578125" style="23"/>
    <col min="10241" max="10241" width="13.5703125" style="23" customWidth="1"/>
    <col min="10242" max="10242" width="35.7109375" style="23" customWidth="1"/>
    <col min="10243" max="10244" width="12.85546875" style="23" customWidth="1"/>
    <col min="10245" max="10245" width="13.7109375" style="23" customWidth="1"/>
    <col min="10246" max="10246" width="10.7109375" style="23" customWidth="1"/>
    <col min="10247" max="10252" width="11.42578125" style="23"/>
    <col min="10253" max="10253" width="14.42578125" style="23" customWidth="1"/>
    <col min="10254" max="10496" width="11.42578125" style="23"/>
    <col min="10497" max="10497" width="13.5703125" style="23" customWidth="1"/>
    <col min="10498" max="10498" width="35.7109375" style="23" customWidth="1"/>
    <col min="10499" max="10500" width="12.85546875" style="23" customWidth="1"/>
    <col min="10501" max="10501" width="13.7109375" style="23" customWidth="1"/>
    <col min="10502" max="10502" width="10.7109375" style="23" customWidth="1"/>
    <col min="10503" max="10508" width="11.42578125" style="23"/>
    <col min="10509" max="10509" width="14.42578125" style="23" customWidth="1"/>
    <col min="10510" max="10752" width="11.42578125" style="23"/>
    <col min="10753" max="10753" width="13.5703125" style="23" customWidth="1"/>
    <col min="10754" max="10754" width="35.7109375" style="23" customWidth="1"/>
    <col min="10755" max="10756" width="12.85546875" style="23" customWidth="1"/>
    <col min="10757" max="10757" width="13.7109375" style="23" customWidth="1"/>
    <col min="10758" max="10758" width="10.7109375" style="23" customWidth="1"/>
    <col min="10759" max="10764" width="11.42578125" style="23"/>
    <col min="10765" max="10765" width="14.42578125" style="23" customWidth="1"/>
    <col min="10766" max="11008" width="11.42578125" style="23"/>
    <col min="11009" max="11009" width="13.5703125" style="23" customWidth="1"/>
    <col min="11010" max="11010" width="35.7109375" style="23" customWidth="1"/>
    <col min="11011" max="11012" width="12.85546875" style="23" customWidth="1"/>
    <col min="11013" max="11013" width="13.7109375" style="23" customWidth="1"/>
    <col min="11014" max="11014" width="10.7109375" style="23" customWidth="1"/>
    <col min="11015" max="11020" width="11.42578125" style="23"/>
    <col min="11021" max="11021" width="14.42578125" style="23" customWidth="1"/>
    <col min="11022" max="11264" width="11.42578125" style="23"/>
    <col min="11265" max="11265" width="13.5703125" style="23" customWidth="1"/>
    <col min="11266" max="11266" width="35.7109375" style="23" customWidth="1"/>
    <col min="11267" max="11268" width="12.85546875" style="23" customWidth="1"/>
    <col min="11269" max="11269" width="13.7109375" style="23" customWidth="1"/>
    <col min="11270" max="11270" width="10.7109375" style="23" customWidth="1"/>
    <col min="11271" max="11276" width="11.42578125" style="23"/>
    <col min="11277" max="11277" width="14.42578125" style="23" customWidth="1"/>
    <col min="11278" max="11520" width="11.42578125" style="23"/>
    <col min="11521" max="11521" width="13.5703125" style="23" customWidth="1"/>
    <col min="11522" max="11522" width="35.7109375" style="23" customWidth="1"/>
    <col min="11523" max="11524" width="12.85546875" style="23" customWidth="1"/>
    <col min="11525" max="11525" width="13.7109375" style="23" customWidth="1"/>
    <col min="11526" max="11526" width="10.7109375" style="23" customWidth="1"/>
    <col min="11527" max="11532" width="11.42578125" style="23"/>
    <col min="11533" max="11533" width="14.42578125" style="23" customWidth="1"/>
    <col min="11534" max="11776" width="11.42578125" style="23"/>
    <col min="11777" max="11777" width="13.5703125" style="23" customWidth="1"/>
    <col min="11778" max="11778" width="35.7109375" style="23" customWidth="1"/>
    <col min="11779" max="11780" width="12.85546875" style="23" customWidth="1"/>
    <col min="11781" max="11781" width="13.7109375" style="23" customWidth="1"/>
    <col min="11782" max="11782" width="10.7109375" style="23" customWidth="1"/>
    <col min="11783" max="11788" width="11.42578125" style="23"/>
    <col min="11789" max="11789" width="14.42578125" style="23" customWidth="1"/>
    <col min="11790" max="12032" width="11.42578125" style="23"/>
    <col min="12033" max="12033" width="13.5703125" style="23" customWidth="1"/>
    <col min="12034" max="12034" width="35.7109375" style="23" customWidth="1"/>
    <col min="12035" max="12036" width="12.85546875" style="23" customWidth="1"/>
    <col min="12037" max="12037" width="13.7109375" style="23" customWidth="1"/>
    <col min="12038" max="12038" width="10.7109375" style="23" customWidth="1"/>
    <col min="12039" max="12044" width="11.42578125" style="23"/>
    <col min="12045" max="12045" width="14.42578125" style="23" customWidth="1"/>
    <col min="12046" max="12288" width="11.42578125" style="23"/>
    <col min="12289" max="12289" width="13.5703125" style="23" customWidth="1"/>
    <col min="12290" max="12290" width="35.7109375" style="23" customWidth="1"/>
    <col min="12291" max="12292" width="12.85546875" style="23" customWidth="1"/>
    <col min="12293" max="12293" width="13.7109375" style="23" customWidth="1"/>
    <col min="12294" max="12294" width="10.7109375" style="23" customWidth="1"/>
    <col min="12295" max="12300" width="11.42578125" style="23"/>
    <col min="12301" max="12301" width="14.42578125" style="23" customWidth="1"/>
    <col min="12302" max="12544" width="11.42578125" style="23"/>
    <col min="12545" max="12545" width="13.5703125" style="23" customWidth="1"/>
    <col min="12546" max="12546" width="35.7109375" style="23" customWidth="1"/>
    <col min="12547" max="12548" width="12.85546875" style="23" customWidth="1"/>
    <col min="12549" max="12549" width="13.7109375" style="23" customWidth="1"/>
    <col min="12550" max="12550" width="10.7109375" style="23" customWidth="1"/>
    <col min="12551" max="12556" width="11.42578125" style="23"/>
    <col min="12557" max="12557" width="14.42578125" style="23" customWidth="1"/>
    <col min="12558" max="12800" width="11.42578125" style="23"/>
    <col min="12801" max="12801" width="13.5703125" style="23" customWidth="1"/>
    <col min="12802" max="12802" width="35.7109375" style="23" customWidth="1"/>
    <col min="12803" max="12804" width="12.85546875" style="23" customWidth="1"/>
    <col min="12805" max="12805" width="13.7109375" style="23" customWidth="1"/>
    <col min="12806" max="12806" width="10.7109375" style="23" customWidth="1"/>
    <col min="12807" max="12812" width="11.42578125" style="23"/>
    <col min="12813" max="12813" width="14.42578125" style="23" customWidth="1"/>
    <col min="12814" max="13056" width="11.42578125" style="23"/>
    <col min="13057" max="13057" width="13.5703125" style="23" customWidth="1"/>
    <col min="13058" max="13058" width="35.7109375" style="23" customWidth="1"/>
    <col min="13059" max="13060" width="12.85546875" style="23" customWidth="1"/>
    <col min="13061" max="13061" width="13.7109375" style="23" customWidth="1"/>
    <col min="13062" max="13062" width="10.7109375" style="23" customWidth="1"/>
    <col min="13063" max="13068" width="11.42578125" style="23"/>
    <col min="13069" max="13069" width="14.42578125" style="23" customWidth="1"/>
    <col min="13070" max="13312" width="11.42578125" style="23"/>
    <col min="13313" max="13313" width="13.5703125" style="23" customWidth="1"/>
    <col min="13314" max="13314" width="35.7109375" style="23" customWidth="1"/>
    <col min="13315" max="13316" width="12.85546875" style="23" customWidth="1"/>
    <col min="13317" max="13317" width="13.7109375" style="23" customWidth="1"/>
    <col min="13318" max="13318" width="10.7109375" style="23" customWidth="1"/>
    <col min="13319" max="13324" width="11.42578125" style="23"/>
    <col min="13325" max="13325" width="14.42578125" style="23" customWidth="1"/>
    <col min="13326" max="13568" width="11.42578125" style="23"/>
    <col min="13569" max="13569" width="13.5703125" style="23" customWidth="1"/>
    <col min="13570" max="13570" width="35.7109375" style="23" customWidth="1"/>
    <col min="13571" max="13572" width="12.85546875" style="23" customWidth="1"/>
    <col min="13573" max="13573" width="13.7109375" style="23" customWidth="1"/>
    <col min="13574" max="13574" width="10.7109375" style="23" customWidth="1"/>
    <col min="13575" max="13580" width="11.42578125" style="23"/>
    <col min="13581" max="13581" width="14.42578125" style="23" customWidth="1"/>
    <col min="13582" max="13824" width="11.42578125" style="23"/>
    <col min="13825" max="13825" width="13.5703125" style="23" customWidth="1"/>
    <col min="13826" max="13826" width="35.7109375" style="23" customWidth="1"/>
    <col min="13827" max="13828" width="12.85546875" style="23" customWidth="1"/>
    <col min="13829" max="13829" width="13.7109375" style="23" customWidth="1"/>
    <col min="13830" max="13830" width="10.7109375" style="23" customWidth="1"/>
    <col min="13831" max="13836" width="11.42578125" style="23"/>
    <col min="13837" max="13837" width="14.42578125" style="23" customWidth="1"/>
    <col min="13838" max="14080" width="11.42578125" style="23"/>
    <col min="14081" max="14081" width="13.5703125" style="23" customWidth="1"/>
    <col min="14082" max="14082" width="35.7109375" style="23" customWidth="1"/>
    <col min="14083" max="14084" width="12.85546875" style="23" customWidth="1"/>
    <col min="14085" max="14085" width="13.7109375" style="23" customWidth="1"/>
    <col min="14086" max="14086" width="10.7109375" style="23" customWidth="1"/>
    <col min="14087" max="14092" width="11.42578125" style="23"/>
    <col min="14093" max="14093" width="14.42578125" style="23" customWidth="1"/>
    <col min="14094" max="14336" width="11.42578125" style="23"/>
    <col min="14337" max="14337" width="13.5703125" style="23" customWidth="1"/>
    <col min="14338" max="14338" width="35.7109375" style="23" customWidth="1"/>
    <col min="14339" max="14340" width="12.85546875" style="23" customWidth="1"/>
    <col min="14341" max="14341" width="13.7109375" style="23" customWidth="1"/>
    <col min="14342" max="14342" width="10.7109375" style="23" customWidth="1"/>
    <col min="14343" max="14348" width="11.42578125" style="23"/>
    <col min="14349" max="14349" width="14.42578125" style="23" customWidth="1"/>
    <col min="14350" max="14592" width="11.42578125" style="23"/>
    <col min="14593" max="14593" width="13.5703125" style="23" customWidth="1"/>
    <col min="14594" max="14594" width="35.7109375" style="23" customWidth="1"/>
    <col min="14595" max="14596" width="12.85546875" style="23" customWidth="1"/>
    <col min="14597" max="14597" width="13.7109375" style="23" customWidth="1"/>
    <col min="14598" max="14598" width="10.7109375" style="23" customWidth="1"/>
    <col min="14599" max="14604" width="11.42578125" style="23"/>
    <col min="14605" max="14605" width="14.42578125" style="23" customWidth="1"/>
    <col min="14606" max="14848" width="11.42578125" style="23"/>
    <col min="14849" max="14849" width="13.5703125" style="23" customWidth="1"/>
    <col min="14850" max="14850" width="35.7109375" style="23" customWidth="1"/>
    <col min="14851" max="14852" width="12.85546875" style="23" customWidth="1"/>
    <col min="14853" max="14853" width="13.7109375" style="23" customWidth="1"/>
    <col min="14854" max="14854" width="10.7109375" style="23" customWidth="1"/>
    <col min="14855" max="14860" width="11.42578125" style="23"/>
    <col min="14861" max="14861" width="14.42578125" style="23" customWidth="1"/>
    <col min="14862" max="15104" width="11.42578125" style="23"/>
    <col min="15105" max="15105" width="13.5703125" style="23" customWidth="1"/>
    <col min="15106" max="15106" width="35.7109375" style="23" customWidth="1"/>
    <col min="15107" max="15108" width="12.85546875" style="23" customWidth="1"/>
    <col min="15109" max="15109" width="13.7109375" style="23" customWidth="1"/>
    <col min="15110" max="15110" width="10.7109375" style="23" customWidth="1"/>
    <col min="15111" max="15116" width="11.42578125" style="23"/>
    <col min="15117" max="15117" width="14.42578125" style="23" customWidth="1"/>
    <col min="15118" max="15360" width="11.42578125" style="23"/>
    <col min="15361" max="15361" width="13.5703125" style="23" customWidth="1"/>
    <col min="15362" max="15362" width="35.7109375" style="23" customWidth="1"/>
    <col min="15363" max="15364" width="12.85546875" style="23" customWidth="1"/>
    <col min="15365" max="15365" width="13.7109375" style="23" customWidth="1"/>
    <col min="15366" max="15366" width="10.7109375" style="23" customWidth="1"/>
    <col min="15367" max="15372" width="11.42578125" style="23"/>
    <col min="15373" max="15373" width="14.42578125" style="23" customWidth="1"/>
    <col min="15374" max="15616" width="11.42578125" style="23"/>
    <col min="15617" max="15617" width="13.5703125" style="23" customWidth="1"/>
    <col min="15618" max="15618" width="35.7109375" style="23" customWidth="1"/>
    <col min="15619" max="15620" width="12.85546875" style="23" customWidth="1"/>
    <col min="15621" max="15621" width="13.7109375" style="23" customWidth="1"/>
    <col min="15622" max="15622" width="10.7109375" style="23" customWidth="1"/>
    <col min="15623" max="15628" width="11.42578125" style="23"/>
    <col min="15629" max="15629" width="14.42578125" style="23" customWidth="1"/>
    <col min="15630" max="15872" width="11.42578125" style="23"/>
    <col min="15873" max="15873" width="13.5703125" style="23" customWidth="1"/>
    <col min="15874" max="15874" width="35.7109375" style="23" customWidth="1"/>
    <col min="15875" max="15876" width="12.85546875" style="23" customWidth="1"/>
    <col min="15877" max="15877" width="13.7109375" style="23" customWidth="1"/>
    <col min="15878" max="15878" width="10.7109375" style="23" customWidth="1"/>
    <col min="15879" max="15884" width="11.42578125" style="23"/>
    <col min="15885" max="15885" width="14.42578125" style="23" customWidth="1"/>
    <col min="15886" max="16128" width="11.42578125" style="23"/>
    <col min="16129" max="16129" width="13.5703125" style="23" customWidth="1"/>
    <col min="16130" max="16130" width="35.7109375" style="23" customWidth="1"/>
    <col min="16131" max="16132" width="12.85546875" style="23" customWidth="1"/>
    <col min="16133" max="16133" width="13.7109375" style="23" customWidth="1"/>
    <col min="16134" max="16134" width="10.7109375" style="23" customWidth="1"/>
    <col min="16135" max="16140" width="11.42578125" style="23"/>
    <col min="16141" max="16141" width="14.42578125" style="23" customWidth="1"/>
    <col min="16142" max="16384" width="11.42578125" style="23"/>
  </cols>
  <sheetData>
    <row r="6" spans="2:5" ht="37.5" customHeight="1">
      <c r="B6" s="246" t="s">
        <v>326</v>
      </c>
      <c r="C6" s="247"/>
      <c r="D6" s="247"/>
      <c r="E6" s="248"/>
    </row>
    <row r="7" spans="2:5" ht="37.5" customHeight="1">
      <c r="B7" s="30" t="s">
        <v>267</v>
      </c>
      <c r="C7" s="223" t="str">
        <f>actualizaciones!A3</f>
        <v>acumulado julio 2009</v>
      </c>
      <c r="D7" s="223" t="str">
        <f>actualizaciones!A2</f>
        <v xml:space="preserve">acumulado julio 2010 </v>
      </c>
      <c r="E7" s="354" t="s">
        <v>280</v>
      </c>
    </row>
    <row r="8" spans="2:5" ht="15" customHeight="1">
      <c r="B8" s="98" t="s">
        <v>268</v>
      </c>
      <c r="C8" s="99"/>
      <c r="D8" s="107"/>
      <c r="E8" s="108"/>
    </row>
    <row r="9" spans="2:5">
      <c r="B9" s="33" t="s">
        <v>281</v>
      </c>
      <c r="C9" s="348">
        <f>GETPIVOTDATA("Suma de TOTAL GENERAL",'[1]tabla dinámica municipios'!$G$18,"PAIS/INDICADOR","ESTANCIA MEDIA ACUMULADO","AÑO",2009)</f>
        <v>7.6750772191999106</v>
      </c>
      <c r="D9" s="348">
        <f>GETPIVOTDATA("Suma de TOTAL GENERAL",'[1]tabla dinámica municipios'!$G$18,"PAIS/INDICADOR","ESTANCIA MEDIA ACUMULADO","AÑO",2010)</f>
        <v>7.4230055531193955</v>
      </c>
      <c r="E9" s="399">
        <f>D9-C9</f>
        <v>-0.25207166608051512</v>
      </c>
    </row>
    <row r="10" spans="2:5">
      <c r="B10" s="37" t="s">
        <v>282</v>
      </c>
      <c r="C10" s="350">
        <f>GETPIVOTDATA("Suma de TOTAL hotelero",'[1]tabla dinámica municipios'!$G$18,"PAIS/INDICADOR","ESTANCIA MEDIA ACUMULADO","AÑO",2009)</f>
        <v>7.201966596505212</v>
      </c>
      <c r="D10" s="350">
        <f>GETPIVOTDATA("Suma de TOTAL hotelero",'[1]tabla dinámica municipios'!$G$18,"PAIS/INDICADOR","ESTANCIA MEDIA ACUMULADO","AÑO",2010)</f>
        <v>6.9716091279916652</v>
      </c>
      <c r="E10" s="401">
        <f>D10-C10</f>
        <v>-0.23035746851354677</v>
      </c>
    </row>
    <row r="11" spans="2:5">
      <c r="B11" s="337" t="s">
        <v>283</v>
      </c>
      <c r="C11" s="364">
        <f>GETPIVOTDATA("Suma de extrahoteleros",'[1]tabla dinámica municipios'!$G$18,"PAIS/INDICADOR","ESTANCIA MEDIA ACUMULADO","AÑO",2009)</f>
        <v>8.3517308884407928</v>
      </c>
      <c r="D11" s="364">
        <f>GETPIVOTDATA("Suma de extrahoteleros",'[1]tabla dinámica municipios'!$G$18,"PAIS/INDICADOR","ESTANCIA MEDIA ACUMULADO","AÑO",2010)</f>
        <v>8.1188801550950274</v>
      </c>
      <c r="E11" s="403">
        <f>D11-C11</f>
        <v>-0.23285073334576545</v>
      </c>
    </row>
    <row r="12" spans="2:5" ht="15" customHeight="1">
      <c r="B12" s="98" t="s">
        <v>89</v>
      </c>
      <c r="C12" s="366"/>
      <c r="D12" s="366"/>
      <c r="E12" s="404"/>
    </row>
    <row r="13" spans="2:5">
      <c r="B13" s="33" t="s">
        <v>281</v>
      </c>
      <c r="C13" s="348">
        <f>'[1]tabla dinámica municipios'!$K$298</f>
        <v>8.1532598605680882</v>
      </c>
      <c r="D13" s="348">
        <f>'[1]tabla dinámica municipios'!$U$298</f>
        <v>7.8662886756998951</v>
      </c>
      <c r="E13" s="399">
        <f>D13-C13</f>
        <v>-0.28697118486819306</v>
      </c>
    </row>
    <row r="14" spans="2:5">
      <c r="B14" s="37" t="s">
        <v>282</v>
      </c>
      <c r="C14" s="350">
        <f>'[1]tabla dinámica municipios'!$J$298</f>
        <v>7.8624342994195553</v>
      </c>
      <c r="D14" s="350">
        <f>'[1]tabla dinámica municipios'!$T$298</f>
        <v>7.5495798162773262</v>
      </c>
      <c r="E14" s="401">
        <f>D14-C14</f>
        <v>-0.31285448314222908</v>
      </c>
    </row>
    <row r="15" spans="2:5">
      <c r="B15" s="337" t="s">
        <v>283</v>
      </c>
      <c r="C15" s="368">
        <f>'[1]tabla dinámica municipios'!$I$298</f>
        <v>8.6704294442486187</v>
      </c>
      <c r="D15" s="368">
        <f>'[1]tabla dinámica municipios'!$S$298</f>
        <v>8.4760431611669063</v>
      </c>
      <c r="E15" s="401">
        <f>D15-C15</f>
        <v>-0.19438628308171246</v>
      </c>
    </row>
    <row r="16" spans="2:5" ht="15" customHeight="1">
      <c r="B16" s="98" t="s">
        <v>305</v>
      </c>
      <c r="C16" s="378"/>
      <c r="D16" s="378"/>
      <c r="E16" s="404"/>
    </row>
    <row r="17" spans="2:12">
      <c r="B17" s="33" t="s">
        <v>281</v>
      </c>
      <c r="C17" s="348">
        <f>'[1]tabla dinámica municipios'!$K$325</f>
        <v>8.1513584432960755</v>
      </c>
      <c r="D17" s="348">
        <f>'[1]tabla dinámica municipios'!$U$325</f>
        <v>7.9130712621375832</v>
      </c>
      <c r="E17" s="399">
        <f>D17-C17</f>
        <v>-0.23828718115849234</v>
      </c>
    </row>
    <row r="18" spans="2:12">
      <c r="B18" s="37" t="s">
        <v>282</v>
      </c>
      <c r="C18" s="350">
        <f>'[1]tabla dinámica municipios'!$J$325</f>
        <v>8.1106801032478852</v>
      </c>
      <c r="D18" s="350">
        <f>'[1]tabla dinámica municipios'!$T$325</f>
        <v>7.7246437529877481</v>
      </c>
      <c r="E18" s="401">
        <f>D18-C18</f>
        <v>-0.38603635026013716</v>
      </c>
    </row>
    <row r="19" spans="2:12">
      <c r="B19" s="337" t="s">
        <v>283</v>
      </c>
      <c r="C19" s="368">
        <f>'[1]tabla dinámica municipios'!$I$325</f>
        <v>8.1814172422394442</v>
      </c>
      <c r="D19" s="368">
        <f>'[1]tabla dinámica municipios'!$S$325</f>
        <v>8.0703581236339179</v>
      </c>
      <c r="E19" s="403">
        <f>D19-C19</f>
        <v>-0.11105911860552631</v>
      </c>
    </row>
    <row r="20" spans="2:12" ht="15" customHeight="1">
      <c r="B20" s="98" t="s">
        <v>306</v>
      </c>
      <c r="C20" s="366"/>
      <c r="D20" s="366"/>
      <c r="E20" s="404"/>
    </row>
    <row r="21" spans="2:12">
      <c r="B21" s="33" t="s">
        <v>281</v>
      </c>
      <c r="C21" s="348">
        <f>'[1]tabla dinámica municipios'!$K$352</f>
        <v>7.5759489961088793</v>
      </c>
      <c r="D21" s="348">
        <f>'[1]tabla dinámica municipios'!$U$352</f>
        <v>7.4466807543751008</v>
      </c>
      <c r="E21" s="399">
        <f>D21-C21</f>
        <v>-0.12926824173377849</v>
      </c>
    </row>
    <row r="22" spans="2:12">
      <c r="B22" s="37" t="s">
        <v>282</v>
      </c>
      <c r="C22" s="350">
        <f>'[1]tabla dinámica municipios'!$J$352</f>
        <v>7.2949145348877007</v>
      </c>
      <c r="D22" s="350">
        <f>'[1]tabla dinámica municipios'!$T$352</f>
        <v>7.3144525342056204</v>
      </c>
      <c r="E22" s="401">
        <f>D22-C22</f>
        <v>1.9537999317919663E-2</v>
      </c>
    </row>
    <row r="23" spans="2:12">
      <c r="B23" s="337" t="s">
        <v>283</v>
      </c>
      <c r="C23" s="368">
        <f>'[1]tabla dinámica municipios'!$I$352</f>
        <v>8.1182500264186839</v>
      </c>
      <c r="D23" s="368">
        <f>'[1]tabla dinámica municipios'!$S$352</f>
        <v>7.7342952665845504</v>
      </c>
      <c r="E23" s="403">
        <f>D23-C23</f>
        <v>-0.38395475983413352</v>
      </c>
    </row>
    <row r="24" spans="2:12" ht="15" customHeight="1">
      <c r="B24" s="98" t="s">
        <v>307</v>
      </c>
      <c r="C24" s="366"/>
      <c r="D24" s="366"/>
      <c r="E24" s="404"/>
    </row>
    <row r="25" spans="2:12">
      <c r="B25" s="33" t="s">
        <v>281</v>
      </c>
      <c r="C25" s="348">
        <f>'[1]tabla dinámica municipios'!$K$379</f>
        <v>2.3460685441687241</v>
      </c>
      <c r="D25" s="348">
        <f>'[1]tabla dinámica municipios'!$U$379</f>
        <v>2.0865799000172385</v>
      </c>
      <c r="E25" s="399">
        <f>D25-C25</f>
        <v>-0.25948864415148565</v>
      </c>
    </row>
    <row r="26" spans="2:12">
      <c r="B26" s="37" t="s">
        <v>282</v>
      </c>
      <c r="C26" s="350">
        <f>'[1]tabla dinámica municipios'!$J$379</f>
        <v>2.3460685441687241</v>
      </c>
      <c r="D26" s="350">
        <f>'[1]tabla dinámica municipios'!$T$379</f>
        <v>2.0865799000172385</v>
      </c>
      <c r="E26" s="401">
        <f>D26-C26</f>
        <v>-0.25948864415148565</v>
      </c>
    </row>
    <row r="27" spans="2:12">
      <c r="B27" s="337" t="s">
        <v>283</v>
      </c>
      <c r="C27" s="368" t="s">
        <v>216</v>
      </c>
      <c r="D27" s="368" t="s">
        <v>216</v>
      </c>
      <c r="E27" s="368" t="s">
        <v>216</v>
      </c>
    </row>
    <row r="28" spans="2:12" ht="34.5" customHeight="1">
      <c r="B28" s="369" t="s">
        <v>327</v>
      </c>
      <c r="C28" s="369"/>
      <c r="D28" s="369"/>
      <c r="E28" s="369"/>
    </row>
    <row r="29" spans="2:12" ht="15" customHeight="1" thickBot="1"/>
    <row r="30" spans="2:12" ht="30" customHeight="1" thickBot="1">
      <c r="B30" s="46"/>
      <c r="C30" s="46"/>
      <c r="D30" s="46"/>
      <c r="E30" s="60" t="s">
        <v>49</v>
      </c>
      <c r="F30" s="46"/>
      <c r="G30" s="46"/>
      <c r="H30" s="46"/>
      <c r="I30" s="46"/>
      <c r="J30" s="46"/>
      <c r="K30" s="46"/>
      <c r="L30" s="46"/>
    </row>
  </sheetData>
  <mergeCells count="2">
    <mergeCell ref="B6:E6"/>
    <mergeCell ref="B28:E28"/>
  </mergeCells>
  <hyperlinks>
    <hyperlink ref="E30" location="'gráfico EM MUNICIPI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86.xml><?xml version="1.0" encoding="utf-8"?>
<worksheet xmlns="http://schemas.openxmlformats.org/spreadsheetml/2006/main" xmlns:r="http://schemas.openxmlformats.org/officeDocument/2006/relationships">
  <sheetPr codeName="Hoja2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5" sqref="B25"/>
    </sheetView>
  </sheetViews>
  <sheetFormatPr baseColWidth="10" defaultRowHeight="12.75"/>
  <cols>
    <col min="1" max="1" width="15.7109375" style="23" customWidth="1"/>
    <col min="2" max="2" width="12.7109375" style="23" customWidth="1"/>
    <col min="3" max="18" width="11.42578125" style="23"/>
    <col min="19" max="19" width="10.7109375" style="23" customWidth="1"/>
    <col min="20" max="25" width="11.42578125" style="23"/>
    <col min="26" max="26" width="14.42578125" style="23" customWidth="1"/>
    <col min="27" max="256" width="11.42578125" style="23"/>
    <col min="257" max="257" width="15.7109375" style="23" customWidth="1"/>
    <col min="258" max="258" width="12.7109375" style="23" customWidth="1"/>
    <col min="259" max="274" width="11.42578125" style="23"/>
    <col min="275" max="275" width="10.7109375" style="23" customWidth="1"/>
    <col min="276" max="281" width="11.42578125" style="23"/>
    <col min="282" max="282" width="14.42578125" style="23" customWidth="1"/>
    <col min="283" max="512" width="11.42578125" style="23"/>
    <col min="513" max="513" width="15.7109375" style="23" customWidth="1"/>
    <col min="514" max="514" width="12.7109375" style="23" customWidth="1"/>
    <col min="515" max="530" width="11.42578125" style="23"/>
    <col min="531" max="531" width="10.7109375" style="23" customWidth="1"/>
    <col min="532" max="537" width="11.42578125" style="23"/>
    <col min="538" max="538" width="14.42578125" style="23" customWidth="1"/>
    <col min="539" max="768" width="11.42578125" style="23"/>
    <col min="769" max="769" width="15.7109375" style="23" customWidth="1"/>
    <col min="770" max="770" width="12.7109375" style="23" customWidth="1"/>
    <col min="771" max="786" width="11.42578125" style="23"/>
    <col min="787" max="787" width="10.7109375" style="23" customWidth="1"/>
    <col min="788" max="793" width="11.42578125" style="23"/>
    <col min="794" max="794" width="14.42578125" style="23" customWidth="1"/>
    <col min="795" max="1024" width="11.42578125" style="23"/>
    <col min="1025" max="1025" width="15.7109375" style="23" customWidth="1"/>
    <col min="1026" max="1026" width="12.7109375" style="23" customWidth="1"/>
    <col min="1027" max="1042" width="11.42578125" style="23"/>
    <col min="1043" max="1043" width="10.7109375" style="23" customWidth="1"/>
    <col min="1044" max="1049" width="11.42578125" style="23"/>
    <col min="1050" max="1050" width="14.42578125" style="23" customWidth="1"/>
    <col min="1051" max="1280" width="11.42578125" style="23"/>
    <col min="1281" max="1281" width="15.7109375" style="23" customWidth="1"/>
    <col min="1282" max="1282" width="12.7109375" style="23" customWidth="1"/>
    <col min="1283" max="1298" width="11.42578125" style="23"/>
    <col min="1299" max="1299" width="10.7109375" style="23" customWidth="1"/>
    <col min="1300" max="1305" width="11.42578125" style="23"/>
    <col min="1306" max="1306" width="14.42578125" style="23" customWidth="1"/>
    <col min="1307" max="1536" width="11.42578125" style="23"/>
    <col min="1537" max="1537" width="15.7109375" style="23" customWidth="1"/>
    <col min="1538" max="1538" width="12.7109375" style="23" customWidth="1"/>
    <col min="1539" max="1554" width="11.42578125" style="23"/>
    <col min="1555" max="1555" width="10.7109375" style="23" customWidth="1"/>
    <col min="1556" max="1561" width="11.42578125" style="23"/>
    <col min="1562" max="1562" width="14.42578125" style="23" customWidth="1"/>
    <col min="1563" max="1792" width="11.42578125" style="23"/>
    <col min="1793" max="1793" width="15.7109375" style="23" customWidth="1"/>
    <col min="1794" max="1794" width="12.7109375" style="23" customWidth="1"/>
    <col min="1795" max="1810" width="11.42578125" style="23"/>
    <col min="1811" max="1811" width="10.7109375" style="23" customWidth="1"/>
    <col min="1812" max="1817" width="11.42578125" style="23"/>
    <col min="1818" max="1818" width="14.42578125" style="23" customWidth="1"/>
    <col min="1819" max="2048" width="11.42578125" style="23"/>
    <col min="2049" max="2049" width="15.7109375" style="23" customWidth="1"/>
    <col min="2050" max="2050" width="12.7109375" style="23" customWidth="1"/>
    <col min="2051" max="2066" width="11.42578125" style="23"/>
    <col min="2067" max="2067" width="10.7109375" style="23" customWidth="1"/>
    <col min="2068" max="2073" width="11.42578125" style="23"/>
    <col min="2074" max="2074" width="14.42578125" style="23" customWidth="1"/>
    <col min="2075" max="2304" width="11.42578125" style="23"/>
    <col min="2305" max="2305" width="15.7109375" style="23" customWidth="1"/>
    <col min="2306" max="2306" width="12.7109375" style="23" customWidth="1"/>
    <col min="2307" max="2322" width="11.42578125" style="23"/>
    <col min="2323" max="2323" width="10.7109375" style="23" customWidth="1"/>
    <col min="2324" max="2329" width="11.42578125" style="23"/>
    <col min="2330" max="2330" width="14.42578125" style="23" customWidth="1"/>
    <col min="2331" max="2560" width="11.42578125" style="23"/>
    <col min="2561" max="2561" width="15.7109375" style="23" customWidth="1"/>
    <col min="2562" max="2562" width="12.7109375" style="23" customWidth="1"/>
    <col min="2563" max="2578" width="11.42578125" style="23"/>
    <col min="2579" max="2579" width="10.7109375" style="23" customWidth="1"/>
    <col min="2580" max="2585" width="11.42578125" style="23"/>
    <col min="2586" max="2586" width="14.42578125" style="23" customWidth="1"/>
    <col min="2587" max="2816" width="11.42578125" style="23"/>
    <col min="2817" max="2817" width="15.7109375" style="23" customWidth="1"/>
    <col min="2818" max="2818" width="12.7109375" style="23" customWidth="1"/>
    <col min="2819" max="2834" width="11.42578125" style="23"/>
    <col min="2835" max="2835" width="10.7109375" style="23" customWidth="1"/>
    <col min="2836" max="2841" width="11.42578125" style="23"/>
    <col min="2842" max="2842" width="14.42578125" style="23" customWidth="1"/>
    <col min="2843" max="3072" width="11.42578125" style="23"/>
    <col min="3073" max="3073" width="15.7109375" style="23" customWidth="1"/>
    <col min="3074" max="3074" width="12.7109375" style="23" customWidth="1"/>
    <col min="3075" max="3090" width="11.42578125" style="23"/>
    <col min="3091" max="3091" width="10.7109375" style="23" customWidth="1"/>
    <col min="3092" max="3097" width="11.42578125" style="23"/>
    <col min="3098" max="3098" width="14.42578125" style="23" customWidth="1"/>
    <col min="3099" max="3328" width="11.42578125" style="23"/>
    <col min="3329" max="3329" width="15.7109375" style="23" customWidth="1"/>
    <col min="3330" max="3330" width="12.7109375" style="23" customWidth="1"/>
    <col min="3331" max="3346" width="11.42578125" style="23"/>
    <col min="3347" max="3347" width="10.7109375" style="23" customWidth="1"/>
    <col min="3348" max="3353" width="11.42578125" style="23"/>
    <col min="3354" max="3354" width="14.42578125" style="23" customWidth="1"/>
    <col min="3355" max="3584" width="11.42578125" style="23"/>
    <col min="3585" max="3585" width="15.7109375" style="23" customWidth="1"/>
    <col min="3586" max="3586" width="12.7109375" style="23" customWidth="1"/>
    <col min="3587" max="3602" width="11.42578125" style="23"/>
    <col min="3603" max="3603" width="10.7109375" style="23" customWidth="1"/>
    <col min="3604" max="3609" width="11.42578125" style="23"/>
    <col min="3610" max="3610" width="14.42578125" style="23" customWidth="1"/>
    <col min="3611" max="3840" width="11.42578125" style="23"/>
    <col min="3841" max="3841" width="15.7109375" style="23" customWidth="1"/>
    <col min="3842" max="3842" width="12.7109375" style="23" customWidth="1"/>
    <col min="3843" max="3858" width="11.42578125" style="23"/>
    <col min="3859" max="3859" width="10.7109375" style="23" customWidth="1"/>
    <col min="3860" max="3865" width="11.42578125" style="23"/>
    <col min="3866" max="3866" width="14.42578125" style="23" customWidth="1"/>
    <col min="3867" max="4096" width="11.42578125" style="23"/>
    <col min="4097" max="4097" width="15.7109375" style="23" customWidth="1"/>
    <col min="4098" max="4098" width="12.7109375" style="23" customWidth="1"/>
    <col min="4099" max="4114" width="11.42578125" style="23"/>
    <col min="4115" max="4115" width="10.7109375" style="23" customWidth="1"/>
    <col min="4116" max="4121" width="11.42578125" style="23"/>
    <col min="4122" max="4122" width="14.42578125" style="23" customWidth="1"/>
    <col min="4123" max="4352" width="11.42578125" style="23"/>
    <col min="4353" max="4353" width="15.7109375" style="23" customWidth="1"/>
    <col min="4354" max="4354" width="12.7109375" style="23" customWidth="1"/>
    <col min="4355" max="4370" width="11.42578125" style="23"/>
    <col min="4371" max="4371" width="10.7109375" style="23" customWidth="1"/>
    <col min="4372" max="4377" width="11.42578125" style="23"/>
    <col min="4378" max="4378" width="14.42578125" style="23" customWidth="1"/>
    <col min="4379" max="4608" width="11.42578125" style="23"/>
    <col min="4609" max="4609" width="15.7109375" style="23" customWidth="1"/>
    <col min="4610" max="4610" width="12.7109375" style="23" customWidth="1"/>
    <col min="4611" max="4626" width="11.42578125" style="23"/>
    <col min="4627" max="4627" width="10.7109375" style="23" customWidth="1"/>
    <col min="4628" max="4633" width="11.42578125" style="23"/>
    <col min="4634" max="4634" width="14.42578125" style="23" customWidth="1"/>
    <col min="4635" max="4864" width="11.42578125" style="23"/>
    <col min="4865" max="4865" width="15.7109375" style="23" customWidth="1"/>
    <col min="4866" max="4866" width="12.7109375" style="23" customWidth="1"/>
    <col min="4867" max="4882" width="11.42578125" style="23"/>
    <col min="4883" max="4883" width="10.7109375" style="23" customWidth="1"/>
    <col min="4884" max="4889" width="11.42578125" style="23"/>
    <col min="4890" max="4890" width="14.42578125" style="23" customWidth="1"/>
    <col min="4891" max="5120" width="11.42578125" style="23"/>
    <col min="5121" max="5121" width="15.7109375" style="23" customWidth="1"/>
    <col min="5122" max="5122" width="12.7109375" style="23" customWidth="1"/>
    <col min="5123" max="5138" width="11.42578125" style="23"/>
    <col min="5139" max="5139" width="10.7109375" style="23" customWidth="1"/>
    <col min="5140" max="5145" width="11.42578125" style="23"/>
    <col min="5146" max="5146" width="14.42578125" style="23" customWidth="1"/>
    <col min="5147" max="5376" width="11.42578125" style="23"/>
    <col min="5377" max="5377" width="15.7109375" style="23" customWidth="1"/>
    <col min="5378" max="5378" width="12.7109375" style="23" customWidth="1"/>
    <col min="5379" max="5394" width="11.42578125" style="23"/>
    <col min="5395" max="5395" width="10.7109375" style="23" customWidth="1"/>
    <col min="5396" max="5401" width="11.42578125" style="23"/>
    <col min="5402" max="5402" width="14.42578125" style="23" customWidth="1"/>
    <col min="5403" max="5632" width="11.42578125" style="23"/>
    <col min="5633" max="5633" width="15.7109375" style="23" customWidth="1"/>
    <col min="5634" max="5634" width="12.7109375" style="23" customWidth="1"/>
    <col min="5635" max="5650" width="11.42578125" style="23"/>
    <col min="5651" max="5651" width="10.7109375" style="23" customWidth="1"/>
    <col min="5652" max="5657" width="11.42578125" style="23"/>
    <col min="5658" max="5658" width="14.42578125" style="23" customWidth="1"/>
    <col min="5659" max="5888" width="11.42578125" style="23"/>
    <col min="5889" max="5889" width="15.7109375" style="23" customWidth="1"/>
    <col min="5890" max="5890" width="12.7109375" style="23" customWidth="1"/>
    <col min="5891" max="5906" width="11.42578125" style="23"/>
    <col min="5907" max="5907" width="10.7109375" style="23" customWidth="1"/>
    <col min="5908" max="5913" width="11.42578125" style="23"/>
    <col min="5914" max="5914" width="14.42578125" style="23" customWidth="1"/>
    <col min="5915" max="6144" width="11.42578125" style="23"/>
    <col min="6145" max="6145" width="15.7109375" style="23" customWidth="1"/>
    <col min="6146" max="6146" width="12.7109375" style="23" customWidth="1"/>
    <col min="6147" max="6162" width="11.42578125" style="23"/>
    <col min="6163" max="6163" width="10.7109375" style="23" customWidth="1"/>
    <col min="6164" max="6169" width="11.42578125" style="23"/>
    <col min="6170" max="6170" width="14.42578125" style="23" customWidth="1"/>
    <col min="6171" max="6400" width="11.42578125" style="23"/>
    <col min="6401" max="6401" width="15.7109375" style="23" customWidth="1"/>
    <col min="6402" max="6402" width="12.7109375" style="23" customWidth="1"/>
    <col min="6403" max="6418" width="11.42578125" style="23"/>
    <col min="6419" max="6419" width="10.7109375" style="23" customWidth="1"/>
    <col min="6420" max="6425" width="11.42578125" style="23"/>
    <col min="6426" max="6426" width="14.42578125" style="23" customWidth="1"/>
    <col min="6427" max="6656" width="11.42578125" style="23"/>
    <col min="6657" max="6657" width="15.7109375" style="23" customWidth="1"/>
    <col min="6658" max="6658" width="12.7109375" style="23" customWidth="1"/>
    <col min="6659" max="6674" width="11.42578125" style="23"/>
    <col min="6675" max="6675" width="10.7109375" style="23" customWidth="1"/>
    <col min="6676" max="6681" width="11.42578125" style="23"/>
    <col min="6682" max="6682" width="14.42578125" style="23" customWidth="1"/>
    <col min="6683" max="6912" width="11.42578125" style="23"/>
    <col min="6913" max="6913" width="15.7109375" style="23" customWidth="1"/>
    <col min="6914" max="6914" width="12.7109375" style="23" customWidth="1"/>
    <col min="6915" max="6930" width="11.42578125" style="23"/>
    <col min="6931" max="6931" width="10.7109375" style="23" customWidth="1"/>
    <col min="6932" max="6937" width="11.42578125" style="23"/>
    <col min="6938" max="6938" width="14.42578125" style="23" customWidth="1"/>
    <col min="6939" max="7168" width="11.42578125" style="23"/>
    <col min="7169" max="7169" width="15.7109375" style="23" customWidth="1"/>
    <col min="7170" max="7170" width="12.7109375" style="23" customWidth="1"/>
    <col min="7171" max="7186" width="11.42578125" style="23"/>
    <col min="7187" max="7187" width="10.7109375" style="23" customWidth="1"/>
    <col min="7188" max="7193" width="11.42578125" style="23"/>
    <col min="7194" max="7194" width="14.42578125" style="23" customWidth="1"/>
    <col min="7195" max="7424" width="11.42578125" style="23"/>
    <col min="7425" max="7425" width="15.7109375" style="23" customWidth="1"/>
    <col min="7426" max="7426" width="12.7109375" style="23" customWidth="1"/>
    <col min="7427" max="7442" width="11.42578125" style="23"/>
    <col min="7443" max="7443" width="10.7109375" style="23" customWidth="1"/>
    <col min="7444" max="7449" width="11.42578125" style="23"/>
    <col min="7450" max="7450" width="14.42578125" style="23" customWidth="1"/>
    <col min="7451" max="7680" width="11.42578125" style="23"/>
    <col min="7681" max="7681" width="15.7109375" style="23" customWidth="1"/>
    <col min="7682" max="7682" width="12.7109375" style="23" customWidth="1"/>
    <col min="7683" max="7698" width="11.42578125" style="23"/>
    <col min="7699" max="7699" width="10.7109375" style="23" customWidth="1"/>
    <col min="7700" max="7705" width="11.42578125" style="23"/>
    <col min="7706" max="7706" width="14.42578125" style="23" customWidth="1"/>
    <col min="7707" max="7936" width="11.42578125" style="23"/>
    <col min="7937" max="7937" width="15.7109375" style="23" customWidth="1"/>
    <col min="7938" max="7938" width="12.7109375" style="23" customWidth="1"/>
    <col min="7939" max="7954" width="11.42578125" style="23"/>
    <col min="7955" max="7955" width="10.7109375" style="23" customWidth="1"/>
    <col min="7956" max="7961" width="11.42578125" style="23"/>
    <col min="7962" max="7962" width="14.42578125" style="23" customWidth="1"/>
    <col min="7963" max="8192" width="11.42578125" style="23"/>
    <col min="8193" max="8193" width="15.7109375" style="23" customWidth="1"/>
    <col min="8194" max="8194" width="12.7109375" style="23" customWidth="1"/>
    <col min="8195" max="8210" width="11.42578125" style="23"/>
    <col min="8211" max="8211" width="10.7109375" style="23" customWidth="1"/>
    <col min="8212" max="8217" width="11.42578125" style="23"/>
    <col min="8218" max="8218" width="14.42578125" style="23" customWidth="1"/>
    <col min="8219" max="8448" width="11.42578125" style="23"/>
    <col min="8449" max="8449" width="15.7109375" style="23" customWidth="1"/>
    <col min="8450" max="8450" width="12.7109375" style="23" customWidth="1"/>
    <col min="8451" max="8466" width="11.42578125" style="23"/>
    <col min="8467" max="8467" width="10.7109375" style="23" customWidth="1"/>
    <col min="8468" max="8473" width="11.42578125" style="23"/>
    <col min="8474" max="8474" width="14.42578125" style="23" customWidth="1"/>
    <col min="8475" max="8704" width="11.42578125" style="23"/>
    <col min="8705" max="8705" width="15.7109375" style="23" customWidth="1"/>
    <col min="8706" max="8706" width="12.7109375" style="23" customWidth="1"/>
    <col min="8707" max="8722" width="11.42578125" style="23"/>
    <col min="8723" max="8723" width="10.7109375" style="23" customWidth="1"/>
    <col min="8724" max="8729" width="11.42578125" style="23"/>
    <col min="8730" max="8730" width="14.42578125" style="23" customWidth="1"/>
    <col min="8731" max="8960" width="11.42578125" style="23"/>
    <col min="8961" max="8961" width="15.7109375" style="23" customWidth="1"/>
    <col min="8962" max="8962" width="12.7109375" style="23" customWidth="1"/>
    <col min="8963" max="8978" width="11.42578125" style="23"/>
    <col min="8979" max="8979" width="10.7109375" style="23" customWidth="1"/>
    <col min="8980" max="8985" width="11.42578125" style="23"/>
    <col min="8986" max="8986" width="14.42578125" style="23" customWidth="1"/>
    <col min="8987" max="9216" width="11.42578125" style="23"/>
    <col min="9217" max="9217" width="15.7109375" style="23" customWidth="1"/>
    <col min="9218" max="9218" width="12.7109375" style="23" customWidth="1"/>
    <col min="9219" max="9234" width="11.42578125" style="23"/>
    <col min="9235" max="9235" width="10.7109375" style="23" customWidth="1"/>
    <col min="9236" max="9241" width="11.42578125" style="23"/>
    <col min="9242" max="9242" width="14.42578125" style="23" customWidth="1"/>
    <col min="9243" max="9472" width="11.42578125" style="23"/>
    <col min="9473" max="9473" width="15.7109375" style="23" customWidth="1"/>
    <col min="9474" max="9474" width="12.7109375" style="23" customWidth="1"/>
    <col min="9475" max="9490" width="11.42578125" style="23"/>
    <col min="9491" max="9491" width="10.7109375" style="23" customWidth="1"/>
    <col min="9492" max="9497" width="11.42578125" style="23"/>
    <col min="9498" max="9498" width="14.42578125" style="23" customWidth="1"/>
    <col min="9499" max="9728" width="11.42578125" style="23"/>
    <col min="9729" max="9729" width="15.7109375" style="23" customWidth="1"/>
    <col min="9730" max="9730" width="12.7109375" style="23" customWidth="1"/>
    <col min="9731" max="9746" width="11.42578125" style="23"/>
    <col min="9747" max="9747" width="10.7109375" style="23" customWidth="1"/>
    <col min="9748" max="9753" width="11.42578125" style="23"/>
    <col min="9754" max="9754" width="14.42578125" style="23" customWidth="1"/>
    <col min="9755" max="9984" width="11.42578125" style="23"/>
    <col min="9985" max="9985" width="15.7109375" style="23" customWidth="1"/>
    <col min="9986" max="9986" width="12.7109375" style="23" customWidth="1"/>
    <col min="9987" max="10002" width="11.42578125" style="23"/>
    <col min="10003" max="10003" width="10.7109375" style="23" customWidth="1"/>
    <col min="10004" max="10009" width="11.42578125" style="23"/>
    <col min="10010" max="10010" width="14.42578125" style="23" customWidth="1"/>
    <col min="10011" max="10240" width="11.42578125" style="23"/>
    <col min="10241" max="10241" width="15.7109375" style="23" customWidth="1"/>
    <col min="10242" max="10242" width="12.7109375" style="23" customWidth="1"/>
    <col min="10243" max="10258" width="11.42578125" style="23"/>
    <col min="10259" max="10259" width="10.7109375" style="23" customWidth="1"/>
    <col min="10260" max="10265" width="11.42578125" style="23"/>
    <col min="10266" max="10266" width="14.42578125" style="23" customWidth="1"/>
    <col min="10267" max="10496" width="11.42578125" style="23"/>
    <col min="10497" max="10497" width="15.7109375" style="23" customWidth="1"/>
    <col min="10498" max="10498" width="12.7109375" style="23" customWidth="1"/>
    <col min="10499" max="10514" width="11.42578125" style="23"/>
    <col min="10515" max="10515" width="10.7109375" style="23" customWidth="1"/>
    <col min="10516" max="10521" width="11.42578125" style="23"/>
    <col min="10522" max="10522" width="14.42578125" style="23" customWidth="1"/>
    <col min="10523" max="10752" width="11.42578125" style="23"/>
    <col min="10753" max="10753" width="15.7109375" style="23" customWidth="1"/>
    <col min="10754" max="10754" width="12.7109375" style="23" customWidth="1"/>
    <col min="10755" max="10770" width="11.42578125" style="23"/>
    <col min="10771" max="10771" width="10.7109375" style="23" customWidth="1"/>
    <col min="10772" max="10777" width="11.42578125" style="23"/>
    <col min="10778" max="10778" width="14.42578125" style="23" customWidth="1"/>
    <col min="10779" max="11008" width="11.42578125" style="23"/>
    <col min="11009" max="11009" width="15.7109375" style="23" customWidth="1"/>
    <col min="11010" max="11010" width="12.7109375" style="23" customWidth="1"/>
    <col min="11011" max="11026" width="11.42578125" style="23"/>
    <col min="11027" max="11027" width="10.7109375" style="23" customWidth="1"/>
    <col min="11028" max="11033" width="11.42578125" style="23"/>
    <col min="11034" max="11034" width="14.42578125" style="23" customWidth="1"/>
    <col min="11035" max="11264" width="11.42578125" style="23"/>
    <col min="11265" max="11265" width="15.7109375" style="23" customWidth="1"/>
    <col min="11266" max="11266" width="12.7109375" style="23" customWidth="1"/>
    <col min="11267" max="11282" width="11.42578125" style="23"/>
    <col min="11283" max="11283" width="10.7109375" style="23" customWidth="1"/>
    <col min="11284" max="11289" width="11.42578125" style="23"/>
    <col min="11290" max="11290" width="14.42578125" style="23" customWidth="1"/>
    <col min="11291" max="11520" width="11.42578125" style="23"/>
    <col min="11521" max="11521" width="15.7109375" style="23" customWidth="1"/>
    <col min="11522" max="11522" width="12.7109375" style="23" customWidth="1"/>
    <col min="11523" max="11538" width="11.42578125" style="23"/>
    <col min="11539" max="11539" width="10.7109375" style="23" customWidth="1"/>
    <col min="11540" max="11545" width="11.42578125" style="23"/>
    <col min="11546" max="11546" width="14.42578125" style="23" customWidth="1"/>
    <col min="11547" max="11776" width="11.42578125" style="23"/>
    <col min="11777" max="11777" width="15.7109375" style="23" customWidth="1"/>
    <col min="11778" max="11778" width="12.7109375" style="23" customWidth="1"/>
    <col min="11779" max="11794" width="11.42578125" style="23"/>
    <col min="11795" max="11795" width="10.7109375" style="23" customWidth="1"/>
    <col min="11796" max="11801" width="11.42578125" style="23"/>
    <col min="11802" max="11802" width="14.42578125" style="23" customWidth="1"/>
    <col min="11803" max="12032" width="11.42578125" style="23"/>
    <col min="12033" max="12033" width="15.7109375" style="23" customWidth="1"/>
    <col min="12034" max="12034" width="12.7109375" style="23" customWidth="1"/>
    <col min="12035" max="12050" width="11.42578125" style="23"/>
    <col min="12051" max="12051" width="10.7109375" style="23" customWidth="1"/>
    <col min="12052" max="12057" width="11.42578125" style="23"/>
    <col min="12058" max="12058" width="14.42578125" style="23" customWidth="1"/>
    <col min="12059" max="12288" width="11.42578125" style="23"/>
    <col min="12289" max="12289" width="15.7109375" style="23" customWidth="1"/>
    <col min="12290" max="12290" width="12.7109375" style="23" customWidth="1"/>
    <col min="12291" max="12306" width="11.42578125" style="23"/>
    <col min="12307" max="12307" width="10.7109375" style="23" customWidth="1"/>
    <col min="12308" max="12313" width="11.42578125" style="23"/>
    <col min="12314" max="12314" width="14.42578125" style="23" customWidth="1"/>
    <col min="12315" max="12544" width="11.42578125" style="23"/>
    <col min="12545" max="12545" width="15.7109375" style="23" customWidth="1"/>
    <col min="12546" max="12546" width="12.7109375" style="23" customWidth="1"/>
    <col min="12547" max="12562" width="11.42578125" style="23"/>
    <col min="12563" max="12563" width="10.7109375" style="23" customWidth="1"/>
    <col min="12564" max="12569" width="11.42578125" style="23"/>
    <col min="12570" max="12570" width="14.42578125" style="23" customWidth="1"/>
    <col min="12571" max="12800" width="11.42578125" style="23"/>
    <col min="12801" max="12801" width="15.7109375" style="23" customWidth="1"/>
    <col min="12802" max="12802" width="12.7109375" style="23" customWidth="1"/>
    <col min="12803" max="12818" width="11.42578125" style="23"/>
    <col min="12819" max="12819" width="10.7109375" style="23" customWidth="1"/>
    <col min="12820" max="12825" width="11.42578125" style="23"/>
    <col min="12826" max="12826" width="14.42578125" style="23" customWidth="1"/>
    <col min="12827" max="13056" width="11.42578125" style="23"/>
    <col min="13057" max="13057" width="15.7109375" style="23" customWidth="1"/>
    <col min="13058" max="13058" width="12.7109375" style="23" customWidth="1"/>
    <col min="13059" max="13074" width="11.42578125" style="23"/>
    <col min="13075" max="13075" width="10.7109375" style="23" customWidth="1"/>
    <col min="13076" max="13081" width="11.42578125" style="23"/>
    <col min="13082" max="13082" width="14.42578125" style="23" customWidth="1"/>
    <col min="13083" max="13312" width="11.42578125" style="23"/>
    <col min="13313" max="13313" width="15.7109375" style="23" customWidth="1"/>
    <col min="13314" max="13314" width="12.7109375" style="23" customWidth="1"/>
    <col min="13315" max="13330" width="11.42578125" style="23"/>
    <col min="13331" max="13331" width="10.7109375" style="23" customWidth="1"/>
    <col min="13332" max="13337" width="11.42578125" style="23"/>
    <col min="13338" max="13338" width="14.42578125" style="23" customWidth="1"/>
    <col min="13339" max="13568" width="11.42578125" style="23"/>
    <col min="13569" max="13569" width="15.7109375" style="23" customWidth="1"/>
    <col min="13570" max="13570" width="12.7109375" style="23" customWidth="1"/>
    <col min="13571" max="13586" width="11.42578125" style="23"/>
    <col min="13587" max="13587" width="10.7109375" style="23" customWidth="1"/>
    <col min="13588" max="13593" width="11.42578125" style="23"/>
    <col min="13594" max="13594" width="14.42578125" style="23" customWidth="1"/>
    <col min="13595" max="13824" width="11.42578125" style="23"/>
    <col min="13825" max="13825" width="15.7109375" style="23" customWidth="1"/>
    <col min="13826" max="13826" width="12.7109375" style="23" customWidth="1"/>
    <col min="13827" max="13842" width="11.42578125" style="23"/>
    <col min="13843" max="13843" width="10.7109375" style="23" customWidth="1"/>
    <col min="13844" max="13849" width="11.42578125" style="23"/>
    <col min="13850" max="13850" width="14.42578125" style="23" customWidth="1"/>
    <col min="13851" max="14080" width="11.42578125" style="23"/>
    <col min="14081" max="14081" width="15.7109375" style="23" customWidth="1"/>
    <col min="14082" max="14082" width="12.7109375" style="23" customWidth="1"/>
    <col min="14083" max="14098" width="11.42578125" style="23"/>
    <col min="14099" max="14099" width="10.7109375" style="23" customWidth="1"/>
    <col min="14100" max="14105" width="11.42578125" style="23"/>
    <col min="14106" max="14106" width="14.42578125" style="23" customWidth="1"/>
    <col min="14107" max="14336" width="11.42578125" style="23"/>
    <col min="14337" max="14337" width="15.7109375" style="23" customWidth="1"/>
    <col min="14338" max="14338" width="12.7109375" style="23" customWidth="1"/>
    <col min="14339" max="14354" width="11.42578125" style="23"/>
    <col min="14355" max="14355" width="10.7109375" style="23" customWidth="1"/>
    <col min="14356" max="14361" width="11.42578125" style="23"/>
    <col min="14362" max="14362" width="14.42578125" style="23" customWidth="1"/>
    <col min="14363" max="14592" width="11.42578125" style="23"/>
    <col min="14593" max="14593" width="15.7109375" style="23" customWidth="1"/>
    <col min="14594" max="14594" width="12.7109375" style="23" customWidth="1"/>
    <col min="14595" max="14610" width="11.42578125" style="23"/>
    <col min="14611" max="14611" width="10.7109375" style="23" customWidth="1"/>
    <col min="14612" max="14617" width="11.42578125" style="23"/>
    <col min="14618" max="14618" width="14.42578125" style="23" customWidth="1"/>
    <col min="14619" max="14848" width="11.42578125" style="23"/>
    <col min="14849" max="14849" width="15.7109375" style="23" customWidth="1"/>
    <col min="14850" max="14850" width="12.7109375" style="23" customWidth="1"/>
    <col min="14851" max="14866" width="11.42578125" style="23"/>
    <col min="14867" max="14867" width="10.7109375" style="23" customWidth="1"/>
    <col min="14868" max="14873" width="11.42578125" style="23"/>
    <col min="14874" max="14874" width="14.42578125" style="23" customWidth="1"/>
    <col min="14875" max="15104" width="11.42578125" style="23"/>
    <col min="15105" max="15105" width="15.7109375" style="23" customWidth="1"/>
    <col min="15106" max="15106" width="12.7109375" style="23" customWidth="1"/>
    <col min="15107" max="15122" width="11.42578125" style="23"/>
    <col min="15123" max="15123" width="10.7109375" style="23" customWidth="1"/>
    <col min="15124" max="15129" width="11.42578125" style="23"/>
    <col min="15130" max="15130" width="14.42578125" style="23" customWidth="1"/>
    <col min="15131" max="15360" width="11.42578125" style="23"/>
    <col min="15361" max="15361" width="15.7109375" style="23" customWidth="1"/>
    <col min="15362" max="15362" width="12.7109375" style="23" customWidth="1"/>
    <col min="15363" max="15378" width="11.42578125" style="23"/>
    <col min="15379" max="15379" width="10.7109375" style="23" customWidth="1"/>
    <col min="15380" max="15385" width="11.42578125" style="23"/>
    <col min="15386" max="15386" width="14.42578125" style="23" customWidth="1"/>
    <col min="15387" max="15616" width="11.42578125" style="23"/>
    <col min="15617" max="15617" width="15.7109375" style="23" customWidth="1"/>
    <col min="15618" max="15618" width="12.7109375" style="23" customWidth="1"/>
    <col min="15619" max="15634" width="11.42578125" style="23"/>
    <col min="15635" max="15635" width="10.7109375" style="23" customWidth="1"/>
    <col min="15636" max="15641" width="11.42578125" style="23"/>
    <col min="15642" max="15642" width="14.42578125" style="23" customWidth="1"/>
    <col min="15643" max="15872" width="11.42578125" style="23"/>
    <col min="15873" max="15873" width="15.7109375" style="23" customWidth="1"/>
    <col min="15874" max="15874" width="12.7109375" style="23" customWidth="1"/>
    <col min="15875" max="15890" width="11.42578125" style="23"/>
    <col min="15891" max="15891" width="10.7109375" style="23" customWidth="1"/>
    <col min="15892" max="15897" width="11.42578125" style="23"/>
    <col min="15898" max="15898" width="14.42578125" style="23" customWidth="1"/>
    <col min="15899" max="16128" width="11.42578125" style="23"/>
    <col min="16129" max="16129" width="15.7109375" style="23" customWidth="1"/>
    <col min="16130" max="16130" width="12.7109375" style="23" customWidth="1"/>
    <col min="16131" max="16146" width="11.42578125" style="23"/>
    <col min="16147" max="16147" width="10.7109375" style="23" customWidth="1"/>
    <col min="16148" max="16153" width="11.42578125" style="23"/>
    <col min="16154" max="16154" width="14.42578125" style="23" customWidth="1"/>
    <col min="16155" max="16384" width="11.42578125" style="23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46"/>
      <c r="C28" s="46"/>
      <c r="D28" s="46"/>
      <c r="E28" s="46"/>
      <c r="F28" s="46"/>
      <c r="G28" s="46"/>
      <c r="H28" s="46"/>
      <c r="I28" s="60" t="s">
        <v>51</v>
      </c>
      <c r="J28" s="46"/>
      <c r="K28" s="46"/>
      <c r="L28" s="46"/>
    </row>
  </sheetData>
  <hyperlinks>
    <hyperlink ref="I28" location="'EM MUNICIPIO y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87.xml><?xml version="1.0" encoding="utf-8"?>
<worksheet xmlns="http://schemas.openxmlformats.org/spreadsheetml/2006/main" xmlns:r="http://schemas.openxmlformats.org/officeDocument/2006/relationships">
  <sheetPr codeName="Hoja47">
    <tabColor rgb="FF000099"/>
    <pageSetUpPr autoPageBreaks="0" fitToPage="1"/>
  </sheetPr>
  <dimension ref="B1:L33"/>
  <sheetViews>
    <sheetView showGridLines="0" showRowColHeaders="0" showOutlineSymbols="0" topLeftCell="E5" zoomScaleNormal="100" workbookViewId="0">
      <selection activeCell="B25" sqref="B25"/>
    </sheetView>
  </sheetViews>
  <sheetFormatPr baseColWidth="10" defaultRowHeight="12.75"/>
  <cols>
    <col min="1" max="1" width="11.42578125" style="23"/>
    <col min="2" max="2" width="28.85546875" style="23" customWidth="1"/>
    <col min="3" max="4" width="12.7109375" style="23" customWidth="1"/>
    <col min="5" max="5" width="10.7109375" style="23" customWidth="1"/>
    <col min="6" max="6" width="11.42578125" style="23"/>
    <col min="7" max="7" width="28.7109375" style="23" customWidth="1"/>
    <col min="8" max="9" width="11.42578125" style="23"/>
    <col min="10" max="10" width="12.28515625" style="23" bestFit="1" customWidth="1"/>
    <col min="11" max="11" width="13.28515625" style="23" customWidth="1"/>
    <col min="12" max="253" width="11.42578125" style="23"/>
    <col min="254" max="254" width="36.7109375" style="23" customWidth="1"/>
    <col min="255" max="255" width="12.7109375" style="23" customWidth="1"/>
    <col min="256" max="256" width="10.7109375" style="23" customWidth="1"/>
    <col min="257" max="257" width="12.7109375" style="23" customWidth="1"/>
    <col min="258" max="259" width="10.7109375" style="23" customWidth="1"/>
    <col min="260" max="266" width="11.42578125" style="23"/>
    <col min="267" max="267" width="13.28515625" style="23" customWidth="1"/>
    <col min="268" max="509" width="11.42578125" style="23"/>
    <col min="510" max="510" width="36.7109375" style="23" customWidth="1"/>
    <col min="511" max="511" width="12.7109375" style="23" customWidth="1"/>
    <col min="512" max="512" width="10.7109375" style="23" customWidth="1"/>
    <col min="513" max="513" width="12.7109375" style="23" customWidth="1"/>
    <col min="514" max="515" width="10.7109375" style="23" customWidth="1"/>
    <col min="516" max="522" width="11.42578125" style="23"/>
    <col min="523" max="523" width="13.28515625" style="23" customWidth="1"/>
    <col min="524" max="765" width="11.42578125" style="23"/>
    <col min="766" max="766" width="36.7109375" style="23" customWidth="1"/>
    <col min="767" max="767" width="12.7109375" style="23" customWidth="1"/>
    <col min="768" max="768" width="10.7109375" style="23" customWidth="1"/>
    <col min="769" max="769" width="12.7109375" style="23" customWidth="1"/>
    <col min="770" max="771" width="10.7109375" style="23" customWidth="1"/>
    <col min="772" max="778" width="11.42578125" style="23"/>
    <col min="779" max="779" width="13.28515625" style="23" customWidth="1"/>
    <col min="780" max="1021" width="11.42578125" style="23"/>
    <col min="1022" max="1022" width="36.7109375" style="23" customWidth="1"/>
    <col min="1023" max="1023" width="12.7109375" style="23" customWidth="1"/>
    <col min="1024" max="1024" width="10.7109375" style="23" customWidth="1"/>
    <col min="1025" max="1025" width="12.7109375" style="23" customWidth="1"/>
    <col min="1026" max="1027" width="10.7109375" style="23" customWidth="1"/>
    <col min="1028" max="1034" width="11.42578125" style="23"/>
    <col min="1035" max="1035" width="13.28515625" style="23" customWidth="1"/>
    <col min="1036" max="1277" width="11.42578125" style="23"/>
    <col min="1278" max="1278" width="36.7109375" style="23" customWidth="1"/>
    <col min="1279" max="1279" width="12.7109375" style="23" customWidth="1"/>
    <col min="1280" max="1280" width="10.7109375" style="23" customWidth="1"/>
    <col min="1281" max="1281" width="12.7109375" style="23" customWidth="1"/>
    <col min="1282" max="1283" width="10.7109375" style="23" customWidth="1"/>
    <col min="1284" max="1290" width="11.42578125" style="23"/>
    <col min="1291" max="1291" width="13.28515625" style="23" customWidth="1"/>
    <col min="1292" max="1533" width="11.42578125" style="23"/>
    <col min="1534" max="1534" width="36.7109375" style="23" customWidth="1"/>
    <col min="1535" max="1535" width="12.7109375" style="23" customWidth="1"/>
    <col min="1536" max="1536" width="10.7109375" style="23" customWidth="1"/>
    <col min="1537" max="1537" width="12.7109375" style="23" customWidth="1"/>
    <col min="1538" max="1539" width="10.7109375" style="23" customWidth="1"/>
    <col min="1540" max="1546" width="11.42578125" style="23"/>
    <col min="1547" max="1547" width="13.28515625" style="23" customWidth="1"/>
    <col min="1548" max="1789" width="11.42578125" style="23"/>
    <col min="1790" max="1790" width="36.7109375" style="23" customWidth="1"/>
    <col min="1791" max="1791" width="12.7109375" style="23" customWidth="1"/>
    <col min="1792" max="1792" width="10.7109375" style="23" customWidth="1"/>
    <col min="1793" max="1793" width="12.7109375" style="23" customWidth="1"/>
    <col min="1794" max="1795" width="10.7109375" style="23" customWidth="1"/>
    <col min="1796" max="1802" width="11.42578125" style="23"/>
    <col min="1803" max="1803" width="13.28515625" style="23" customWidth="1"/>
    <col min="1804" max="2045" width="11.42578125" style="23"/>
    <col min="2046" max="2046" width="36.7109375" style="23" customWidth="1"/>
    <col min="2047" max="2047" width="12.7109375" style="23" customWidth="1"/>
    <col min="2048" max="2048" width="10.7109375" style="23" customWidth="1"/>
    <col min="2049" max="2049" width="12.7109375" style="23" customWidth="1"/>
    <col min="2050" max="2051" width="10.7109375" style="23" customWidth="1"/>
    <col min="2052" max="2058" width="11.42578125" style="23"/>
    <col min="2059" max="2059" width="13.28515625" style="23" customWidth="1"/>
    <col min="2060" max="2301" width="11.42578125" style="23"/>
    <col min="2302" max="2302" width="36.7109375" style="23" customWidth="1"/>
    <col min="2303" max="2303" width="12.7109375" style="23" customWidth="1"/>
    <col min="2304" max="2304" width="10.7109375" style="23" customWidth="1"/>
    <col min="2305" max="2305" width="12.7109375" style="23" customWidth="1"/>
    <col min="2306" max="2307" width="10.7109375" style="23" customWidth="1"/>
    <col min="2308" max="2314" width="11.42578125" style="23"/>
    <col min="2315" max="2315" width="13.28515625" style="23" customWidth="1"/>
    <col min="2316" max="2557" width="11.42578125" style="23"/>
    <col min="2558" max="2558" width="36.7109375" style="23" customWidth="1"/>
    <col min="2559" max="2559" width="12.7109375" style="23" customWidth="1"/>
    <col min="2560" max="2560" width="10.7109375" style="23" customWidth="1"/>
    <col min="2561" max="2561" width="12.7109375" style="23" customWidth="1"/>
    <col min="2562" max="2563" width="10.7109375" style="23" customWidth="1"/>
    <col min="2564" max="2570" width="11.42578125" style="23"/>
    <col min="2571" max="2571" width="13.28515625" style="23" customWidth="1"/>
    <col min="2572" max="2813" width="11.42578125" style="23"/>
    <col min="2814" max="2814" width="36.7109375" style="23" customWidth="1"/>
    <col min="2815" max="2815" width="12.7109375" style="23" customWidth="1"/>
    <col min="2816" max="2816" width="10.7109375" style="23" customWidth="1"/>
    <col min="2817" max="2817" width="12.7109375" style="23" customWidth="1"/>
    <col min="2818" max="2819" width="10.7109375" style="23" customWidth="1"/>
    <col min="2820" max="2826" width="11.42578125" style="23"/>
    <col min="2827" max="2827" width="13.28515625" style="23" customWidth="1"/>
    <col min="2828" max="3069" width="11.42578125" style="23"/>
    <col min="3070" max="3070" width="36.7109375" style="23" customWidth="1"/>
    <col min="3071" max="3071" width="12.7109375" style="23" customWidth="1"/>
    <col min="3072" max="3072" width="10.7109375" style="23" customWidth="1"/>
    <col min="3073" max="3073" width="12.7109375" style="23" customWidth="1"/>
    <col min="3074" max="3075" width="10.7109375" style="23" customWidth="1"/>
    <col min="3076" max="3082" width="11.42578125" style="23"/>
    <col min="3083" max="3083" width="13.28515625" style="23" customWidth="1"/>
    <col min="3084" max="3325" width="11.42578125" style="23"/>
    <col min="3326" max="3326" width="36.7109375" style="23" customWidth="1"/>
    <col min="3327" max="3327" width="12.7109375" style="23" customWidth="1"/>
    <col min="3328" max="3328" width="10.7109375" style="23" customWidth="1"/>
    <col min="3329" max="3329" width="12.7109375" style="23" customWidth="1"/>
    <col min="3330" max="3331" width="10.7109375" style="23" customWidth="1"/>
    <col min="3332" max="3338" width="11.42578125" style="23"/>
    <col min="3339" max="3339" width="13.28515625" style="23" customWidth="1"/>
    <col min="3340" max="3581" width="11.42578125" style="23"/>
    <col min="3582" max="3582" width="36.7109375" style="23" customWidth="1"/>
    <col min="3583" max="3583" width="12.7109375" style="23" customWidth="1"/>
    <col min="3584" max="3584" width="10.7109375" style="23" customWidth="1"/>
    <col min="3585" max="3585" width="12.7109375" style="23" customWidth="1"/>
    <col min="3586" max="3587" width="10.7109375" style="23" customWidth="1"/>
    <col min="3588" max="3594" width="11.42578125" style="23"/>
    <col min="3595" max="3595" width="13.28515625" style="23" customWidth="1"/>
    <col min="3596" max="3837" width="11.42578125" style="23"/>
    <col min="3838" max="3838" width="36.7109375" style="23" customWidth="1"/>
    <col min="3839" max="3839" width="12.7109375" style="23" customWidth="1"/>
    <col min="3840" max="3840" width="10.7109375" style="23" customWidth="1"/>
    <col min="3841" max="3841" width="12.7109375" style="23" customWidth="1"/>
    <col min="3842" max="3843" width="10.7109375" style="23" customWidth="1"/>
    <col min="3844" max="3850" width="11.42578125" style="23"/>
    <col min="3851" max="3851" width="13.28515625" style="23" customWidth="1"/>
    <col min="3852" max="4093" width="11.42578125" style="23"/>
    <col min="4094" max="4094" width="36.7109375" style="23" customWidth="1"/>
    <col min="4095" max="4095" width="12.7109375" style="23" customWidth="1"/>
    <col min="4096" max="4096" width="10.7109375" style="23" customWidth="1"/>
    <col min="4097" max="4097" width="12.7109375" style="23" customWidth="1"/>
    <col min="4098" max="4099" width="10.7109375" style="23" customWidth="1"/>
    <col min="4100" max="4106" width="11.42578125" style="23"/>
    <col min="4107" max="4107" width="13.28515625" style="23" customWidth="1"/>
    <col min="4108" max="4349" width="11.42578125" style="23"/>
    <col min="4350" max="4350" width="36.7109375" style="23" customWidth="1"/>
    <col min="4351" max="4351" width="12.7109375" style="23" customWidth="1"/>
    <col min="4352" max="4352" width="10.7109375" style="23" customWidth="1"/>
    <col min="4353" max="4353" width="12.7109375" style="23" customWidth="1"/>
    <col min="4354" max="4355" width="10.7109375" style="23" customWidth="1"/>
    <col min="4356" max="4362" width="11.42578125" style="23"/>
    <col min="4363" max="4363" width="13.28515625" style="23" customWidth="1"/>
    <col min="4364" max="4605" width="11.42578125" style="23"/>
    <col min="4606" max="4606" width="36.7109375" style="23" customWidth="1"/>
    <col min="4607" max="4607" width="12.7109375" style="23" customWidth="1"/>
    <col min="4608" max="4608" width="10.7109375" style="23" customWidth="1"/>
    <col min="4609" max="4609" width="12.7109375" style="23" customWidth="1"/>
    <col min="4610" max="4611" width="10.7109375" style="23" customWidth="1"/>
    <col min="4612" max="4618" width="11.42578125" style="23"/>
    <col min="4619" max="4619" width="13.28515625" style="23" customWidth="1"/>
    <col min="4620" max="4861" width="11.42578125" style="23"/>
    <col min="4862" max="4862" width="36.7109375" style="23" customWidth="1"/>
    <col min="4863" max="4863" width="12.7109375" style="23" customWidth="1"/>
    <col min="4864" max="4864" width="10.7109375" style="23" customWidth="1"/>
    <col min="4865" max="4865" width="12.7109375" style="23" customWidth="1"/>
    <col min="4866" max="4867" width="10.7109375" style="23" customWidth="1"/>
    <col min="4868" max="4874" width="11.42578125" style="23"/>
    <col min="4875" max="4875" width="13.28515625" style="23" customWidth="1"/>
    <col min="4876" max="5117" width="11.42578125" style="23"/>
    <col min="5118" max="5118" width="36.7109375" style="23" customWidth="1"/>
    <col min="5119" max="5119" width="12.7109375" style="23" customWidth="1"/>
    <col min="5120" max="5120" width="10.7109375" style="23" customWidth="1"/>
    <col min="5121" max="5121" width="12.7109375" style="23" customWidth="1"/>
    <col min="5122" max="5123" width="10.7109375" style="23" customWidth="1"/>
    <col min="5124" max="5130" width="11.42578125" style="23"/>
    <col min="5131" max="5131" width="13.28515625" style="23" customWidth="1"/>
    <col min="5132" max="5373" width="11.42578125" style="23"/>
    <col min="5374" max="5374" width="36.7109375" style="23" customWidth="1"/>
    <col min="5375" max="5375" width="12.7109375" style="23" customWidth="1"/>
    <col min="5376" max="5376" width="10.7109375" style="23" customWidth="1"/>
    <col min="5377" max="5377" width="12.7109375" style="23" customWidth="1"/>
    <col min="5378" max="5379" width="10.7109375" style="23" customWidth="1"/>
    <col min="5380" max="5386" width="11.42578125" style="23"/>
    <col min="5387" max="5387" width="13.28515625" style="23" customWidth="1"/>
    <col min="5388" max="5629" width="11.42578125" style="23"/>
    <col min="5630" max="5630" width="36.7109375" style="23" customWidth="1"/>
    <col min="5631" max="5631" width="12.7109375" style="23" customWidth="1"/>
    <col min="5632" max="5632" width="10.7109375" style="23" customWidth="1"/>
    <col min="5633" max="5633" width="12.7109375" style="23" customWidth="1"/>
    <col min="5634" max="5635" width="10.7109375" style="23" customWidth="1"/>
    <col min="5636" max="5642" width="11.42578125" style="23"/>
    <col min="5643" max="5643" width="13.28515625" style="23" customWidth="1"/>
    <col min="5644" max="5885" width="11.42578125" style="23"/>
    <col min="5886" max="5886" width="36.7109375" style="23" customWidth="1"/>
    <col min="5887" max="5887" width="12.7109375" style="23" customWidth="1"/>
    <col min="5888" max="5888" width="10.7109375" style="23" customWidth="1"/>
    <col min="5889" max="5889" width="12.7109375" style="23" customWidth="1"/>
    <col min="5890" max="5891" width="10.7109375" style="23" customWidth="1"/>
    <col min="5892" max="5898" width="11.42578125" style="23"/>
    <col min="5899" max="5899" width="13.28515625" style="23" customWidth="1"/>
    <col min="5900" max="6141" width="11.42578125" style="23"/>
    <col min="6142" max="6142" width="36.7109375" style="23" customWidth="1"/>
    <col min="6143" max="6143" width="12.7109375" style="23" customWidth="1"/>
    <col min="6144" max="6144" width="10.7109375" style="23" customWidth="1"/>
    <col min="6145" max="6145" width="12.7109375" style="23" customWidth="1"/>
    <col min="6146" max="6147" width="10.7109375" style="23" customWidth="1"/>
    <col min="6148" max="6154" width="11.42578125" style="23"/>
    <col min="6155" max="6155" width="13.28515625" style="23" customWidth="1"/>
    <col min="6156" max="6397" width="11.42578125" style="23"/>
    <col min="6398" max="6398" width="36.7109375" style="23" customWidth="1"/>
    <col min="6399" max="6399" width="12.7109375" style="23" customWidth="1"/>
    <col min="6400" max="6400" width="10.7109375" style="23" customWidth="1"/>
    <col min="6401" max="6401" width="12.7109375" style="23" customWidth="1"/>
    <col min="6402" max="6403" width="10.7109375" style="23" customWidth="1"/>
    <col min="6404" max="6410" width="11.42578125" style="23"/>
    <col min="6411" max="6411" width="13.28515625" style="23" customWidth="1"/>
    <col min="6412" max="6653" width="11.42578125" style="23"/>
    <col min="6654" max="6654" width="36.7109375" style="23" customWidth="1"/>
    <col min="6655" max="6655" width="12.7109375" style="23" customWidth="1"/>
    <col min="6656" max="6656" width="10.7109375" style="23" customWidth="1"/>
    <col min="6657" max="6657" width="12.7109375" style="23" customWidth="1"/>
    <col min="6658" max="6659" width="10.7109375" style="23" customWidth="1"/>
    <col min="6660" max="6666" width="11.42578125" style="23"/>
    <col min="6667" max="6667" width="13.28515625" style="23" customWidth="1"/>
    <col min="6668" max="6909" width="11.42578125" style="23"/>
    <col min="6910" max="6910" width="36.7109375" style="23" customWidth="1"/>
    <col min="6911" max="6911" width="12.7109375" style="23" customWidth="1"/>
    <col min="6912" max="6912" width="10.7109375" style="23" customWidth="1"/>
    <col min="6913" max="6913" width="12.7109375" style="23" customWidth="1"/>
    <col min="6914" max="6915" width="10.7109375" style="23" customWidth="1"/>
    <col min="6916" max="6922" width="11.42578125" style="23"/>
    <col min="6923" max="6923" width="13.28515625" style="23" customWidth="1"/>
    <col min="6924" max="7165" width="11.42578125" style="23"/>
    <col min="7166" max="7166" width="36.7109375" style="23" customWidth="1"/>
    <col min="7167" max="7167" width="12.7109375" style="23" customWidth="1"/>
    <col min="7168" max="7168" width="10.7109375" style="23" customWidth="1"/>
    <col min="7169" max="7169" width="12.7109375" style="23" customWidth="1"/>
    <col min="7170" max="7171" width="10.7109375" style="23" customWidth="1"/>
    <col min="7172" max="7178" width="11.42578125" style="23"/>
    <col min="7179" max="7179" width="13.28515625" style="23" customWidth="1"/>
    <col min="7180" max="7421" width="11.42578125" style="23"/>
    <col min="7422" max="7422" width="36.7109375" style="23" customWidth="1"/>
    <col min="7423" max="7423" width="12.7109375" style="23" customWidth="1"/>
    <col min="7424" max="7424" width="10.7109375" style="23" customWidth="1"/>
    <col min="7425" max="7425" width="12.7109375" style="23" customWidth="1"/>
    <col min="7426" max="7427" width="10.7109375" style="23" customWidth="1"/>
    <col min="7428" max="7434" width="11.42578125" style="23"/>
    <col min="7435" max="7435" width="13.28515625" style="23" customWidth="1"/>
    <col min="7436" max="7677" width="11.42578125" style="23"/>
    <col min="7678" max="7678" width="36.7109375" style="23" customWidth="1"/>
    <col min="7679" max="7679" width="12.7109375" style="23" customWidth="1"/>
    <col min="7680" max="7680" width="10.7109375" style="23" customWidth="1"/>
    <col min="7681" max="7681" width="12.7109375" style="23" customWidth="1"/>
    <col min="7682" max="7683" width="10.7109375" style="23" customWidth="1"/>
    <col min="7684" max="7690" width="11.42578125" style="23"/>
    <col min="7691" max="7691" width="13.28515625" style="23" customWidth="1"/>
    <col min="7692" max="7933" width="11.42578125" style="23"/>
    <col min="7934" max="7934" width="36.7109375" style="23" customWidth="1"/>
    <col min="7935" max="7935" width="12.7109375" style="23" customWidth="1"/>
    <col min="7936" max="7936" width="10.7109375" style="23" customWidth="1"/>
    <col min="7937" max="7937" width="12.7109375" style="23" customWidth="1"/>
    <col min="7938" max="7939" width="10.7109375" style="23" customWidth="1"/>
    <col min="7940" max="7946" width="11.42578125" style="23"/>
    <col min="7947" max="7947" width="13.28515625" style="23" customWidth="1"/>
    <col min="7948" max="8189" width="11.42578125" style="23"/>
    <col min="8190" max="8190" width="36.7109375" style="23" customWidth="1"/>
    <col min="8191" max="8191" width="12.7109375" style="23" customWidth="1"/>
    <col min="8192" max="8192" width="10.7109375" style="23" customWidth="1"/>
    <col min="8193" max="8193" width="12.7109375" style="23" customWidth="1"/>
    <col min="8194" max="8195" width="10.7109375" style="23" customWidth="1"/>
    <col min="8196" max="8202" width="11.42578125" style="23"/>
    <col min="8203" max="8203" width="13.28515625" style="23" customWidth="1"/>
    <col min="8204" max="8445" width="11.42578125" style="23"/>
    <col min="8446" max="8446" width="36.7109375" style="23" customWidth="1"/>
    <col min="8447" max="8447" width="12.7109375" style="23" customWidth="1"/>
    <col min="8448" max="8448" width="10.7109375" style="23" customWidth="1"/>
    <col min="8449" max="8449" width="12.7109375" style="23" customWidth="1"/>
    <col min="8450" max="8451" width="10.7109375" style="23" customWidth="1"/>
    <col min="8452" max="8458" width="11.42578125" style="23"/>
    <col min="8459" max="8459" width="13.28515625" style="23" customWidth="1"/>
    <col min="8460" max="8701" width="11.42578125" style="23"/>
    <col min="8702" max="8702" width="36.7109375" style="23" customWidth="1"/>
    <col min="8703" max="8703" width="12.7109375" style="23" customWidth="1"/>
    <col min="8704" max="8704" width="10.7109375" style="23" customWidth="1"/>
    <col min="8705" max="8705" width="12.7109375" style="23" customWidth="1"/>
    <col min="8706" max="8707" width="10.7109375" style="23" customWidth="1"/>
    <col min="8708" max="8714" width="11.42578125" style="23"/>
    <col min="8715" max="8715" width="13.28515625" style="23" customWidth="1"/>
    <col min="8716" max="8957" width="11.42578125" style="23"/>
    <col min="8958" max="8958" width="36.7109375" style="23" customWidth="1"/>
    <col min="8959" max="8959" width="12.7109375" style="23" customWidth="1"/>
    <col min="8960" max="8960" width="10.7109375" style="23" customWidth="1"/>
    <col min="8961" max="8961" width="12.7109375" style="23" customWidth="1"/>
    <col min="8962" max="8963" width="10.7109375" style="23" customWidth="1"/>
    <col min="8964" max="8970" width="11.42578125" style="23"/>
    <col min="8971" max="8971" width="13.28515625" style="23" customWidth="1"/>
    <col min="8972" max="9213" width="11.42578125" style="23"/>
    <col min="9214" max="9214" width="36.7109375" style="23" customWidth="1"/>
    <col min="9215" max="9215" width="12.7109375" style="23" customWidth="1"/>
    <col min="9216" max="9216" width="10.7109375" style="23" customWidth="1"/>
    <col min="9217" max="9217" width="12.7109375" style="23" customWidth="1"/>
    <col min="9218" max="9219" width="10.7109375" style="23" customWidth="1"/>
    <col min="9220" max="9226" width="11.42578125" style="23"/>
    <col min="9227" max="9227" width="13.28515625" style="23" customWidth="1"/>
    <col min="9228" max="9469" width="11.42578125" style="23"/>
    <col min="9470" max="9470" width="36.7109375" style="23" customWidth="1"/>
    <col min="9471" max="9471" width="12.7109375" style="23" customWidth="1"/>
    <col min="9472" max="9472" width="10.7109375" style="23" customWidth="1"/>
    <col min="9473" max="9473" width="12.7109375" style="23" customWidth="1"/>
    <col min="9474" max="9475" width="10.7109375" style="23" customWidth="1"/>
    <col min="9476" max="9482" width="11.42578125" style="23"/>
    <col min="9483" max="9483" width="13.28515625" style="23" customWidth="1"/>
    <col min="9484" max="9725" width="11.42578125" style="23"/>
    <col min="9726" max="9726" width="36.7109375" style="23" customWidth="1"/>
    <col min="9727" max="9727" width="12.7109375" style="23" customWidth="1"/>
    <col min="9728" max="9728" width="10.7109375" style="23" customWidth="1"/>
    <col min="9729" max="9729" width="12.7109375" style="23" customWidth="1"/>
    <col min="9730" max="9731" width="10.7109375" style="23" customWidth="1"/>
    <col min="9732" max="9738" width="11.42578125" style="23"/>
    <col min="9739" max="9739" width="13.28515625" style="23" customWidth="1"/>
    <col min="9740" max="9981" width="11.42578125" style="23"/>
    <col min="9982" max="9982" width="36.7109375" style="23" customWidth="1"/>
    <col min="9983" max="9983" width="12.7109375" style="23" customWidth="1"/>
    <col min="9984" max="9984" width="10.7109375" style="23" customWidth="1"/>
    <col min="9985" max="9985" width="12.7109375" style="23" customWidth="1"/>
    <col min="9986" max="9987" width="10.7109375" style="23" customWidth="1"/>
    <col min="9988" max="9994" width="11.42578125" style="23"/>
    <col min="9995" max="9995" width="13.28515625" style="23" customWidth="1"/>
    <col min="9996" max="10237" width="11.42578125" style="23"/>
    <col min="10238" max="10238" width="36.7109375" style="23" customWidth="1"/>
    <col min="10239" max="10239" width="12.7109375" style="23" customWidth="1"/>
    <col min="10240" max="10240" width="10.7109375" style="23" customWidth="1"/>
    <col min="10241" max="10241" width="12.7109375" style="23" customWidth="1"/>
    <col min="10242" max="10243" width="10.7109375" style="23" customWidth="1"/>
    <col min="10244" max="10250" width="11.42578125" style="23"/>
    <col min="10251" max="10251" width="13.28515625" style="23" customWidth="1"/>
    <col min="10252" max="10493" width="11.42578125" style="23"/>
    <col min="10494" max="10494" width="36.7109375" style="23" customWidth="1"/>
    <col min="10495" max="10495" width="12.7109375" style="23" customWidth="1"/>
    <col min="10496" max="10496" width="10.7109375" style="23" customWidth="1"/>
    <col min="10497" max="10497" width="12.7109375" style="23" customWidth="1"/>
    <col min="10498" max="10499" width="10.7109375" style="23" customWidth="1"/>
    <col min="10500" max="10506" width="11.42578125" style="23"/>
    <col min="10507" max="10507" width="13.28515625" style="23" customWidth="1"/>
    <col min="10508" max="10749" width="11.42578125" style="23"/>
    <col min="10750" max="10750" width="36.7109375" style="23" customWidth="1"/>
    <col min="10751" max="10751" width="12.7109375" style="23" customWidth="1"/>
    <col min="10752" max="10752" width="10.7109375" style="23" customWidth="1"/>
    <col min="10753" max="10753" width="12.7109375" style="23" customWidth="1"/>
    <col min="10754" max="10755" width="10.7109375" style="23" customWidth="1"/>
    <col min="10756" max="10762" width="11.42578125" style="23"/>
    <col min="10763" max="10763" width="13.28515625" style="23" customWidth="1"/>
    <col min="10764" max="11005" width="11.42578125" style="23"/>
    <col min="11006" max="11006" width="36.7109375" style="23" customWidth="1"/>
    <col min="11007" max="11007" width="12.7109375" style="23" customWidth="1"/>
    <col min="11008" max="11008" width="10.7109375" style="23" customWidth="1"/>
    <col min="11009" max="11009" width="12.7109375" style="23" customWidth="1"/>
    <col min="11010" max="11011" width="10.7109375" style="23" customWidth="1"/>
    <col min="11012" max="11018" width="11.42578125" style="23"/>
    <col min="11019" max="11019" width="13.28515625" style="23" customWidth="1"/>
    <col min="11020" max="11261" width="11.42578125" style="23"/>
    <col min="11262" max="11262" width="36.7109375" style="23" customWidth="1"/>
    <col min="11263" max="11263" width="12.7109375" style="23" customWidth="1"/>
    <col min="11264" max="11264" width="10.7109375" style="23" customWidth="1"/>
    <col min="11265" max="11265" width="12.7109375" style="23" customWidth="1"/>
    <col min="11266" max="11267" width="10.7109375" style="23" customWidth="1"/>
    <col min="11268" max="11274" width="11.42578125" style="23"/>
    <col min="11275" max="11275" width="13.28515625" style="23" customWidth="1"/>
    <col min="11276" max="11517" width="11.42578125" style="23"/>
    <col min="11518" max="11518" width="36.7109375" style="23" customWidth="1"/>
    <col min="11519" max="11519" width="12.7109375" style="23" customWidth="1"/>
    <col min="11520" max="11520" width="10.7109375" style="23" customWidth="1"/>
    <col min="11521" max="11521" width="12.7109375" style="23" customWidth="1"/>
    <col min="11522" max="11523" width="10.7109375" style="23" customWidth="1"/>
    <col min="11524" max="11530" width="11.42578125" style="23"/>
    <col min="11531" max="11531" width="13.28515625" style="23" customWidth="1"/>
    <col min="11532" max="11773" width="11.42578125" style="23"/>
    <col min="11774" max="11774" width="36.7109375" style="23" customWidth="1"/>
    <col min="11775" max="11775" width="12.7109375" style="23" customWidth="1"/>
    <col min="11776" max="11776" width="10.7109375" style="23" customWidth="1"/>
    <col min="11777" max="11777" width="12.7109375" style="23" customWidth="1"/>
    <col min="11778" max="11779" width="10.7109375" style="23" customWidth="1"/>
    <col min="11780" max="11786" width="11.42578125" style="23"/>
    <col min="11787" max="11787" width="13.28515625" style="23" customWidth="1"/>
    <col min="11788" max="12029" width="11.42578125" style="23"/>
    <col min="12030" max="12030" width="36.7109375" style="23" customWidth="1"/>
    <col min="12031" max="12031" width="12.7109375" style="23" customWidth="1"/>
    <col min="12032" max="12032" width="10.7109375" style="23" customWidth="1"/>
    <col min="12033" max="12033" width="12.7109375" style="23" customWidth="1"/>
    <col min="12034" max="12035" width="10.7109375" style="23" customWidth="1"/>
    <col min="12036" max="12042" width="11.42578125" style="23"/>
    <col min="12043" max="12043" width="13.28515625" style="23" customWidth="1"/>
    <col min="12044" max="12285" width="11.42578125" style="23"/>
    <col min="12286" max="12286" width="36.7109375" style="23" customWidth="1"/>
    <col min="12287" max="12287" width="12.7109375" style="23" customWidth="1"/>
    <col min="12288" max="12288" width="10.7109375" style="23" customWidth="1"/>
    <col min="12289" max="12289" width="12.7109375" style="23" customWidth="1"/>
    <col min="12290" max="12291" width="10.7109375" style="23" customWidth="1"/>
    <col min="12292" max="12298" width="11.42578125" style="23"/>
    <col min="12299" max="12299" width="13.28515625" style="23" customWidth="1"/>
    <col min="12300" max="12541" width="11.42578125" style="23"/>
    <col min="12542" max="12542" width="36.7109375" style="23" customWidth="1"/>
    <col min="12543" max="12543" width="12.7109375" style="23" customWidth="1"/>
    <col min="12544" max="12544" width="10.7109375" style="23" customWidth="1"/>
    <col min="12545" max="12545" width="12.7109375" style="23" customWidth="1"/>
    <col min="12546" max="12547" width="10.7109375" style="23" customWidth="1"/>
    <col min="12548" max="12554" width="11.42578125" style="23"/>
    <col min="12555" max="12555" width="13.28515625" style="23" customWidth="1"/>
    <col min="12556" max="12797" width="11.42578125" style="23"/>
    <col min="12798" max="12798" width="36.7109375" style="23" customWidth="1"/>
    <col min="12799" max="12799" width="12.7109375" style="23" customWidth="1"/>
    <col min="12800" max="12800" width="10.7109375" style="23" customWidth="1"/>
    <col min="12801" max="12801" width="12.7109375" style="23" customWidth="1"/>
    <col min="12802" max="12803" width="10.7109375" style="23" customWidth="1"/>
    <col min="12804" max="12810" width="11.42578125" style="23"/>
    <col min="12811" max="12811" width="13.28515625" style="23" customWidth="1"/>
    <col min="12812" max="13053" width="11.42578125" style="23"/>
    <col min="13054" max="13054" width="36.7109375" style="23" customWidth="1"/>
    <col min="13055" max="13055" width="12.7109375" style="23" customWidth="1"/>
    <col min="13056" max="13056" width="10.7109375" style="23" customWidth="1"/>
    <col min="13057" max="13057" width="12.7109375" style="23" customWidth="1"/>
    <col min="13058" max="13059" width="10.7109375" style="23" customWidth="1"/>
    <col min="13060" max="13066" width="11.42578125" style="23"/>
    <col min="13067" max="13067" width="13.28515625" style="23" customWidth="1"/>
    <col min="13068" max="13309" width="11.42578125" style="23"/>
    <col min="13310" max="13310" width="36.7109375" style="23" customWidth="1"/>
    <col min="13311" max="13311" width="12.7109375" style="23" customWidth="1"/>
    <col min="13312" max="13312" width="10.7109375" style="23" customWidth="1"/>
    <col min="13313" max="13313" width="12.7109375" style="23" customWidth="1"/>
    <col min="13314" max="13315" width="10.7109375" style="23" customWidth="1"/>
    <col min="13316" max="13322" width="11.42578125" style="23"/>
    <col min="13323" max="13323" width="13.28515625" style="23" customWidth="1"/>
    <col min="13324" max="13565" width="11.42578125" style="23"/>
    <col min="13566" max="13566" width="36.7109375" style="23" customWidth="1"/>
    <col min="13567" max="13567" width="12.7109375" style="23" customWidth="1"/>
    <col min="13568" max="13568" width="10.7109375" style="23" customWidth="1"/>
    <col min="13569" max="13569" width="12.7109375" style="23" customWidth="1"/>
    <col min="13570" max="13571" width="10.7109375" style="23" customWidth="1"/>
    <col min="13572" max="13578" width="11.42578125" style="23"/>
    <col min="13579" max="13579" width="13.28515625" style="23" customWidth="1"/>
    <col min="13580" max="13821" width="11.42578125" style="23"/>
    <col min="13822" max="13822" width="36.7109375" style="23" customWidth="1"/>
    <col min="13823" max="13823" width="12.7109375" style="23" customWidth="1"/>
    <col min="13824" max="13824" width="10.7109375" style="23" customWidth="1"/>
    <col min="13825" max="13825" width="12.7109375" style="23" customWidth="1"/>
    <col min="13826" max="13827" width="10.7109375" style="23" customWidth="1"/>
    <col min="13828" max="13834" width="11.42578125" style="23"/>
    <col min="13835" max="13835" width="13.28515625" style="23" customWidth="1"/>
    <col min="13836" max="14077" width="11.42578125" style="23"/>
    <col min="14078" max="14078" width="36.7109375" style="23" customWidth="1"/>
    <col min="14079" max="14079" width="12.7109375" style="23" customWidth="1"/>
    <col min="14080" max="14080" width="10.7109375" style="23" customWidth="1"/>
    <col min="14081" max="14081" width="12.7109375" style="23" customWidth="1"/>
    <col min="14082" max="14083" width="10.7109375" style="23" customWidth="1"/>
    <col min="14084" max="14090" width="11.42578125" style="23"/>
    <col min="14091" max="14091" width="13.28515625" style="23" customWidth="1"/>
    <col min="14092" max="14333" width="11.42578125" style="23"/>
    <col min="14334" max="14334" width="36.7109375" style="23" customWidth="1"/>
    <col min="14335" max="14335" width="12.7109375" style="23" customWidth="1"/>
    <col min="14336" max="14336" width="10.7109375" style="23" customWidth="1"/>
    <col min="14337" max="14337" width="12.7109375" style="23" customWidth="1"/>
    <col min="14338" max="14339" width="10.7109375" style="23" customWidth="1"/>
    <col min="14340" max="14346" width="11.42578125" style="23"/>
    <col min="14347" max="14347" width="13.28515625" style="23" customWidth="1"/>
    <col min="14348" max="14589" width="11.42578125" style="23"/>
    <col min="14590" max="14590" width="36.7109375" style="23" customWidth="1"/>
    <col min="14591" max="14591" width="12.7109375" style="23" customWidth="1"/>
    <col min="14592" max="14592" width="10.7109375" style="23" customWidth="1"/>
    <col min="14593" max="14593" width="12.7109375" style="23" customWidth="1"/>
    <col min="14594" max="14595" width="10.7109375" style="23" customWidth="1"/>
    <col min="14596" max="14602" width="11.42578125" style="23"/>
    <col min="14603" max="14603" width="13.28515625" style="23" customWidth="1"/>
    <col min="14604" max="14845" width="11.42578125" style="23"/>
    <col min="14846" max="14846" width="36.7109375" style="23" customWidth="1"/>
    <col min="14847" max="14847" width="12.7109375" style="23" customWidth="1"/>
    <col min="14848" max="14848" width="10.7109375" style="23" customWidth="1"/>
    <col min="14849" max="14849" width="12.7109375" style="23" customWidth="1"/>
    <col min="14850" max="14851" width="10.7109375" style="23" customWidth="1"/>
    <col min="14852" max="14858" width="11.42578125" style="23"/>
    <col min="14859" max="14859" width="13.28515625" style="23" customWidth="1"/>
    <col min="14860" max="15101" width="11.42578125" style="23"/>
    <col min="15102" max="15102" width="36.7109375" style="23" customWidth="1"/>
    <col min="15103" max="15103" width="12.7109375" style="23" customWidth="1"/>
    <col min="15104" max="15104" width="10.7109375" style="23" customWidth="1"/>
    <col min="15105" max="15105" width="12.7109375" style="23" customWidth="1"/>
    <col min="15106" max="15107" width="10.7109375" style="23" customWidth="1"/>
    <col min="15108" max="15114" width="11.42578125" style="23"/>
    <col min="15115" max="15115" width="13.28515625" style="23" customWidth="1"/>
    <col min="15116" max="15357" width="11.42578125" style="23"/>
    <col min="15358" max="15358" width="36.7109375" style="23" customWidth="1"/>
    <col min="15359" max="15359" width="12.7109375" style="23" customWidth="1"/>
    <col min="15360" max="15360" width="10.7109375" style="23" customWidth="1"/>
    <col min="15361" max="15361" width="12.7109375" style="23" customWidth="1"/>
    <col min="15362" max="15363" width="10.7109375" style="23" customWidth="1"/>
    <col min="15364" max="15370" width="11.42578125" style="23"/>
    <col min="15371" max="15371" width="13.28515625" style="23" customWidth="1"/>
    <col min="15372" max="15613" width="11.42578125" style="23"/>
    <col min="15614" max="15614" width="36.7109375" style="23" customWidth="1"/>
    <col min="15615" max="15615" width="12.7109375" style="23" customWidth="1"/>
    <col min="15616" max="15616" width="10.7109375" style="23" customWidth="1"/>
    <col min="15617" max="15617" width="12.7109375" style="23" customWidth="1"/>
    <col min="15618" max="15619" width="10.7109375" style="23" customWidth="1"/>
    <col min="15620" max="15626" width="11.42578125" style="23"/>
    <col min="15627" max="15627" width="13.28515625" style="23" customWidth="1"/>
    <col min="15628" max="15869" width="11.42578125" style="23"/>
    <col min="15870" max="15870" width="36.7109375" style="23" customWidth="1"/>
    <col min="15871" max="15871" width="12.7109375" style="23" customWidth="1"/>
    <col min="15872" max="15872" width="10.7109375" style="23" customWidth="1"/>
    <col min="15873" max="15873" width="12.7109375" style="23" customWidth="1"/>
    <col min="15874" max="15875" width="10.7109375" style="23" customWidth="1"/>
    <col min="15876" max="15882" width="11.42578125" style="23"/>
    <col min="15883" max="15883" width="13.28515625" style="23" customWidth="1"/>
    <col min="15884" max="16125" width="11.42578125" style="23"/>
    <col min="16126" max="16126" width="36.7109375" style="23" customWidth="1"/>
    <col min="16127" max="16127" width="12.7109375" style="23" customWidth="1"/>
    <col min="16128" max="16128" width="10.7109375" style="23" customWidth="1"/>
    <col min="16129" max="16129" width="12.7109375" style="23" customWidth="1"/>
    <col min="16130" max="16131" width="10.7109375" style="23" customWidth="1"/>
    <col min="16132" max="16138" width="11.42578125" style="23"/>
    <col min="16139" max="16139" width="13.28515625" style="23" customWidth="1"/>
    <col min="16140" max="16384" width="11.42578125" style="23"/>
  </cols>
  <sheetData>
    <row r="1" spans="2:10" ht="26.25">
      <c r="B1" s="26"/>
    </row>
    <row r="7" spans="2:10" ht="52.5" customHeight="1">
      <c r="B7" s="447" t="s">
        <v>328</v>
      </c>
      <c r="C7" s="448"/>
      <c r="D7" s="448"/>
      <c r="E7" s="449"/>
      <c r="G7" s="447" t="s">
        <v>329</v>
      </c>
      <c r="H7" s="448"/>
      <c r="I7" s="448"/>
      <c r="J7" s="449"/>
    </row>
    <row r="8" spans="2:10" ht="41.25" customHeight="1">
      <c r="B8" s="30" t="s">
        <v>238</v>
      </c>
      <c r="C8" s="329" t="str">
        <f>actualizaciones!$A$3</f>
        <v>acumulado julio 2009</v>
      </c>
      <c r="D8" s="329" t="str">
        <f>actualizaciones!$A$2</f>
        <v xml:space="preserve">acumulado julio 2010 </v>
      </c>
      <c r="E8" s="330" t="s">
        <v>28</v>
      </c>
      <c r="G8" s="30" t="s">
        <v>238</v>
      </c>
      <c r="H8" s="329" t="str">
        <f>actualizaciones!$A$3</f>
        <v>acumulado julio 2009</v>
      </c>
      <c r="I8" s="329" t="str">
        <f>actualizaciones!$A$2</f>
        <v xml:space="preserve">acumulado julio 2010 </v>
      </c>
      <c r="J8" s="330" t="s">
        <v>28</v>
      </c>
    </row>
    <row r="9" spans="2:10">
      <c r="B9" s="98" t="s">
        <v>239</v>
      </c>
      <c r="C9" s="99"/>
      <c r="D9" s="99"/>
      <c r="E9" s="100"/>
      <c r="G9" s="98" t="s">
        <v>239</v>
      </c>
      <c r="H9" s="99"/>
      <c r="I9" s="99"/>
      <c r="J9" s="100"/>
    </row>
    <row r="10" spans="2:10">
      <c r="B10" s="33" t="s">
        <v>330</v>
      </c>
      <c r="C10" s="463">
        <f>'[1]tabla dinámica municipios'!$K$298</f>
        <v>8.1532598605680882</v>
      </c>
      <c r="D10" s="463">
        <f>'[1]tabla dinámica municipios'!$U$298</f>
        <v>7.8662886756998951</v>
      </c>
      <c r="E10" s="470">
        <f>(D10-C10)</f>
        <v>-0.28697118486819306</v>
      </c>
      <c r="G10" s="33" t="s">
        <v>330</v>
      </c>
      <c r="H10" s="463">
        <f>'[1]tabla dinámica municipios'!$K$325</f>
        <v>8.1513584432960755</v>
      </c>
      <c r="I10" s="463">
        <f>'[1]tabla dinámica municipios'!$U$325</f>
        <v>7.9130712621375832</v>
      </c>
      <c r="J10" s="471">
        <f>(I10-H10)</f>
        <v>-0.23828718115849234</v>
      </c>
    </row>
    <row r="11" spans="2:10">
      <c r="B11" s="98" t="s">
        <v>241</v>
      </c>
      <c r="C11" s="99"/>
      <c r="D11" s="99"/>
      <c r="E11" s="472"/>
      <c r="G11" s="98" t="s">
        <v>241</v>
      </c>
      <c r="H11" s="99"/>
      <c r="I11" s="99"/>
      <c r="J11" s="464"/>
    </row>
    <row r="12" spans="2:10">
      <c r="B12" s="111" t="s">
        <v>242</v>
      </c>
      <c r="C12" s="465">
        <f>'[1]tabla dinámica municipios'!$J$298</f>
        <v>7.8624342994195553</v>
      </c>
      <c r="D12" s="465">
        <f>'[1]tabla dinámica municipios'!$T$298</f>
        <v>7.5495798162773262</v>
      </c>
      <c r="E12" s="473">
        <f>(D12-C12)</f>
        <v>-0.31285448314222908</v>
      </c>
      <c r="G12" s="111" t="s">
        <v>242</v>
      </c>
      <c r="H12" s="465">
        <f>'[1]tabla dinámica municipios'!$J$325</f>
        <v>8.1106801032478852</v>
      </c>
      <c r="I12" s="465">
        <f>'[1]tabla dinámica municipios'!$T$325</f>
        <v>7.7246437529877481</v>
      </c>
      <c r="J12" s="474">
        <f t="shared" ref="J12:J16" si="0">(I12-H12)</f>
        <v>-0.38603635026013716</v>
      </c>
    </row>
    <row r="13" spans="2:10">
      <c r="B13" s="111" t="s">
        <v>243</v>
      </c>
      <c r="C13" s="466">
        <f>'[1]tabla dinámica municipios'!$H$298</f>
        <v>7.0403310578142939</v>
      </c>
      <c r="D13" s="466">
        <f>'[1]tabla dinámica municipios'!$R$298</f>
        <v>6.8197293570074127</v>
      </c>
      <c r="E13" s="475">
        <f t="shared" ref="E13:E16" si="1">(D13-C13)</f>
        <v>-0.22060170080688124</v>
      </c>
      <c r="G13" s="111" t="s">
        <v>243</v>
      </c>
      <c r="H13" s="466">
        <f>'[1]tabla dinámica municipios'!$H$325</f>
        <v>7.8596404947500433</v>
      </c>
      <c r="I13" s="466">
        <f>'[1]tabla dinámica municipios'!$R$325</f>
        <v>7.8531887638393263</v>
      </c>
      <c r="J13" s="411">
        <f t="shared" si="0"/>
        <v>-6.4517309107170462E-3</v>
      </c>
    </row>
    <row r="14" spans="2:10">
      <c r="B14" s="111" t="s">
        <v>244</v>
      </c>
      <c r="C14" s="466">
        <f>'[1]tabla dinámica municipios'!$F$298</f>
        <v>7.8551633954368834</v>
      </c>
      <c r="D14" s="466">
        <f>'[1]tabla dinámica municipios'!$P$298</f>
        <v>7.6012954952098388</v>
      </c>
      <c r="E14" s="475">
        <f t="shared" si="1"/>
        <v>-0.25386790022704453</v>
      </c>
      <c r="G14" s="111" t="s">
        <v>244</v>
      </c>
      <c r="H14" s="466">
        <f>'[1]tabla dinámica municipios'!$F$325</f>
        <v>8.3299753117415687</v>
      </c>
      <c r="I14" s="466">
        <f>'[1]tabla dinámica municipios'!$P$325</f>
        <v>7.791404938696374</v>
      </c>
      <c r="J14" s="411">
        <f t="shared" si="0"/>
        <v>-0.53857037304519473</v>
      </c>
    </row>
    <row r="15" spans="2:10">
      <c r="B15" s="111" t="s">
        <v>245</v>
      </c>
      <c r="C15" s="466">
        <f>'[1]tabla dinámica municipios'!$E$298</f>
        <v>8.5624304832980513</v>
      </c>
      <c r="D15" s="466">
        <f>'[1]tabla dinámica municipios'!$O$298</f>
        <v>8.0533512306043331</v>
      </c>
      <c r="E15" s="475">
        <f t="shared" si="1"/>
        <v>-0.50907925269371823</v>
      </c>
      <c r="G15" s="111" t="s">
        <v>245</v>
      </c>
      <c r="H15" s="466">
        <f>'[1]tabla dinámica municipios'!$E$325</f>
        <v>7.85412333410369</v>
      </c>
      <c r="I15" s="466">
        <f>'[1]tabla dinámica municipios'!$O$325</f>
        <v>7.6247996889845533</v>
      </c>
      <c r="J15" s="411">
        <f t="shared" si="0"/>
        <v>-0.22932364511913672</v>
      </c>
    </row>
    <row r="16" spans="2:10">
      <c r="B16" s="111" t="s">
        <v>246</v>
      </c>
      <c r="C16" s="467">
        <f>'[1]tabla dinámica municipios'!$C$298</f>
        <v>7.1304167959458065</v>
      </c>
      <c r="D16" s="467">
        <f>'[1]tabla dinámica municipios'!$M$298</f>
        <v>7.0084439083232812</v>
      </c>
      <c r="E16" s="476">
        <f t="shared" si="1"/>
        <v>-0.12197288762252523</v>
      </c>
      <c r="G16" s="111" t="s">
        <v>246</v>
      </c>
      <c r="H16" s="467">
        <f>'[1]tabla dinámica municipios'!$C$325</f>
        <v>7.4716624685138537</v>
      </c>
      <c r="I16" s="467">
        <f>'[1]tabla dinámica municipios'!$M$325</f>
        <v>6.5581481481481481</v>
      </c>
      <c r="J16" s="477">
        <f t="shared" si="0"/>
        <v>-0.91351432036570568</v>
      </c>
    </row>
    <row r="17" spans="2:12">
      <c r="B17" s="98" t="s">
        <v>247</v>
      </c>
      <c r="C17" s="107"/>
      <c r="D17" s="107"/>
      <c r="E17" s="478"/>
      <c r="G17" s="98" t="s">
        <v>247</v>
      </c>
      <c r="H17" s="107"/>
      <c r="I17" s="107"/>
      <c r="J17" s="468"/>
    </row>
    <row r="18" spans="2:12">
      <c r="B18" s="337" t="s">
        <v>248</v>
      </c>
      <c r="C18" s="467">
        <f>'[1]tabla dinámica municipios'!$I$298</f>
        <v>8.6704294442486187</v>
      </c>
      <c r="D18" s="467">
        <f>'[1]tabla dinámica municipios'!$S$298</f>
        <v>8.4760431611669063</v>
      </c>
      <c r="E18" s="476">
        <f>(D18-C18)</f>
        <v>-0.19438628308171246</v>
      </c>
      <c r="G18" s="337" t="s">
        <v>248</v>
      </c>
      <c r="H18" s="467">
        <f>'[1]tabla dinámica municipios'!$I$325</f>
        <v>8.1814172422394442</v>
      </c>
      <c r="I18" s="467">
        <f>'[1]tabla dinámica municipios'!$S$325</f>
        <v>8.0703581236339179</v>
      </c>
      <c r="J18" s="477">
        <f>(I18-H18)</f>
        <v>-0.11105911860552631</v>
      </c>
    </row>
    <row r="19" spans="2:12">
      <c r="B19" s="458" t="s">
        <v>90</v>
      </c>
      <c r="C19" s="459"/>
      <c r="D19" s="459"/>
      <c r="E19" s="460"/>
      <c r="G19" s="458" t="s">
        <v>90</v>
      </c>
      <c r="H19" s="459"/>
      <c r="I19" s="459"/>
      <c r="J19" s="460"/>
    </row>
    <row r="20" spans="2:12" ht="20.100000000000001" customHeight="1" thickBot="1"/>
    <row r="21" spans="2:12" ht="51.75" customHeight="1" thickBot="1">
      <c r="B21" s="447" t="s">
        <v>331</v>
      </c>
      <c r="C21" s="448"/>
      <c r="D21" s="448"/>
      <c r="E21" s="449"/>
      <c r="G21" s="447" t="s">
        <v>332</v>
      </c>
      <c r="H21" s="448"/>
      <c r="I21" s="448"/>
      <c r="J21" s="449"/>
      <c r="L21" s="60" t="s">
        <v>49</v>
      </c>
    </row>
    <row r="22" spans="2:12" ht="33.75" customHeight="1">
      <c r="B22" s="30" t="s">
        <v>238</v>
      </c>
      <c r="C22" s="329" t="str">
        <f>actualizaciones!$A$3</f>
        <v>acumulado julio 2009</v>
      </c>
      <c r="D22" s="329" t="str">
        <f>actualizaciones!$A$2</f>
        <v xml:space="preserve">acumulado julio 2010 </v>
      </c>
      <c r="E22" s="330" t="s">
        <v>28</v>
      </c>
      <c r="G22" s="30" t="s">
        <v>238</v>
      </c>
      <c r="H22" s="329" t="str">
        <f>actualizaciones!$A$3</f>
        <v>acumulado julio 2009</v>
      </c>
      <c r="I22" s="329" t="str">
        <f>actualizaciones!$A$2</f>
        <v xml:space="preserve">acumulado julio 2010 </v>
      </c>
      <c r="J22" s="330" t="s">
        <v>28</v>
      </c>
    </row>
    <row r="23" spans="2:12">
      <c r="B23" s="98" t="s">
        <v>239</v>
      </c>
      <c r="C23" s="99"/>
      <c r="D23" s="99"/>
      <c r="E23" s="100"/>
      <c r="G23" s="98" t="s">
        <v>239</v>
      </c>
      <c r="H23" s="99"/>
      <c r="I23" s="99"/>
      <c r="J23" s="100"/>
    </row>
    <row r="24" spans="2:12">
      <c r="B24" s="33" t="s">
        <v>330</v>
      </c>
      <c r="C24" s="463">
        <f>'[1]tabla dinámica municipios'!$K$352</f>
        <v>7.5759489961088793</v>
      </c>
      <c r="D24" s="463">
        <f>'[1]tabla dinámica municipios'!$U$352</f>
        <v>7.4466807543751008</v>
      </c>
      <c r="E24" s="471">
        <f>(D24-C24)</f>
        <v>-0.12926824173377849</v>
      </c>
      <c r="G24" s="33" t="s">
        <v>330</v>
      </c>
      <c r="H24" s="463">
        <f>'[1]tabla dinámica municipios'!K379</f>
        <v>2.3460685441687241</v>
      </c>
      <c r="I24" s="463">
        <f>'[1]tabla dinámica municipios'!$U$379</f>
        <v>2.0865799000172385</v>
      </c>
      <c r="J24" s="471">
        <f>(I24-H24)</f>
        <v>-0.25948864415148565</v>
      </c>
    </row>
    <row r="25" spans="2:12">
      <c r="B25" s="98" t="s">
        <v>241</v>
      </c>
      <c r="C25" s="99"/>
      <c r="D25" s="99"/>
      <c r="E25" s="464"/>
      <c r="G25" s="98" t="s">
        <v>241</v>
      </c>
      <c r="H25" s="99"/>
      <c r="I25" s="99"/>
      <c r="J25" s="464"/>
    </row>
    <row r="26" spans="2:12">
      <c r="B26" s="111" t="s">
        <v>242</v>
      </c>
      <c r="C26" s="465">
        <f>'[1]tabla dinámica municipios'!$J$352</f>
        <v>7.2949145348877007</v>
      </c>
      <c r="D26" s="465">
        <f>'[1]tabla dinámica municipios'!$T$352</f>
        <v>7.3144525342056204</v>
      </c>
      <c r="E26" s="474">
        <f t="shared" ref="E26:E29" si="2">(D26-C26)</f>
        <v>1.9537999317919663E-2</v>
      </c>
      <c r="G26" s="111" t="s">
        <v>242</v>
      </c>
      <c r="H26" s="465">
        <f>'[1]tabla dinámica municipios'!$J$379</f>
        <v>2.3460685441687241</v>
      </c>
      <c r="I26" s="465">
        <f>'[1]tabla dinámica municipios'!$T$379</f>
        <v>2.0865799000172385</v>
      </c>
      <c r="J26" s="474">
        <f t="shared" ref="J26:J30" si="3">(I26-H26)</f>
        <v>-0.25948864415148565</v>
      </c>
    </row>
    <row r="27" spans="2:12">
      <c r="B27" s="111" t="s">
        <v>312</v>
      </c>
      <c r="C27" s="466">
        <f>'[1]tabla dinámica municipios'!$G$352</f>
        <v>7.4398236092265941</v>
      </c>
      <c r="D27" s="466">
        <f>'[1]tabla dinámica municipios'!$Q$352</f>
        <v>7.3756549726970864</v>
      </c>
      <c r="E27" s="411">
        <f t="shared" si="2"/>
        <v>-6.4168636529507772E-2</v>
      </c>
      <c r="G27" s="111" t="s">
        <v>312</v>
      </c>
      <c r="H27" s="466">
        <f>'[1]tabla dinámica municipios'!$G$379</f>
        <v>2.2300482640510664</v>
      </c>
      <c r="I27" s="466">
        <f>'[1]tabla dinámica municipios'!$Q$379</f>
        <v>1.8100312448610425</v>
      </c>
      <c r="J27" s="411">
        <f t="shared" si="3"/>
        <v>-0.42001701919002388</v>
      </c>
    </row>
    <row r="28" spans="2:12">
      <c r="B28" s="111" t="s">
        <v>245</v>
      </c>
      <c r="C28" s="466">
        <f>'[1]tabla dinámica municipios'!$E$352</f>
        <v>6.9794759996857572</v>
      </c>
      <c r="D28" s="466">
        <f>'[1]tabla dinámica municipios'!$O$352</f>
        <v>7.4322975889355583</v>
      </c>
      <c r="E28" s="411">
        <f t="shared" si="2"/>
        <v>0.45282158924980109</v>
      </c>
      <c r="G28" s="111" t="s">
        <v>245</v>
      </c>
      <c r="H28" s="466">
        <f>'[1]tabla dinámica municipios'!$E$379</f>
        <v>2.1653896961690884</v>
      </c>
      <c r="I28" s="466">
        <f>'[1]tabla dinámica municipios'!$O$379</f>
        <v>2.1225036179450072</v>
      </c>
      <c r="J28" s="411">
        <f t="shared" si="3"/>
        <v>-4.2886078224081192E-2</v>
      </c>
    </row>
    <row r="29" spans="2:12">
      <c r="B29" s="111" t="s">
        <v>246</v>
      </c>
      <c r="C29" s="467">
        <f>'[1]tabla dinámica municipios'!$C$352</f>
        <v>3.946580406654344</v>
      </c>
      <c r="D29" s="467">
        <f>'[1]tabla dinámica municipios'!$M$352</f>
        <v>3.9014183155314304</v>
      </c>
      <c r="E29" s="477">
        <f t="shared" si="2"/>
        <v>-4.5162091122913584E-2</v>
      </c>
      <c r="G29" s="111" t="s">
        <v>313</v>
      </c>
      <c r="H29" s="466">
        <f>'[1]tabla dinámica municipios'!$D$379</f>
        <v>2.5075981777674325</v>
      </c>
      <c r="I29" s="466">
        <f>'[1]tabla dinámica municipios'!$N$379</f>
        <v>2.071387855011233</v>
      </c>
      <c r="J29" s="411">
        <f t="shared" si="3"/>
        <v>-0.43621032275619953</v>
      </c>
    </row>
    <row r="30" spans="2:12">
      <c r="B30" s="98" t="s">
        <v>247</v>
      </c>
      <c r="C30" s="107"/>
      <c r="D30" s="107"/>
      <c r="E30" s="468"/>
      <c r="G30" s="111" t="s">
        <v>314</v>
      </c>
      <c r="H30" s="467">
        <f>'[1]tabla dinámica municipios'!$B$379</f>
        <v>2.8754525706010137</v>
      </c>
      <c r="I30" s="467">
        <f>'[1]tabla dinámica municipios'!$L$379</f>
        <v>3.6768391269199676</v>
      </c>
      <c r="J30" s="477">
        <f t="shared" si="3"/>
        <v>0.80138655631895395</v>
      </c>
    </row>
    <row r="31" spans="2:12">
      <c r="B31" s="337" t="s">
        <v>248</v>
      </c>
      <c r="C31" s="467">
        <f>'[1]tabla dinámica municipios'!$I$352</f>
        <v>8.1182500264186839</v>
      </c>
      <c r="D31" s="467">
        <f>'[1]tabla dinámica municipios'!$S$352</f>
        <v>7.7342952665845504</v>
      </c>
      <c r="E31" s="477">
        <f>(D31-C31)</f>
        <v>-0.38395475983413352</v>
      </c>
      <c r="G31" s="98" t="s">
        <v>247</v>
      </c>
      <c r="H31" s="107"/>
      <c r="I31" s="107"/>
      <c r="J31" s="468"/>
    </row>
    <row r="32" spans="2:12">
      <c r="B32" s="458" t="s">
        <v>90</v>
      </c>
      <c r="C32" s="459"/>
      <c r="D32" s="459"/>
      <c r="E32" s="460"/>
      <c r="G32" s="337" t="s">
        <v>248</v>
      </c>
      <c r="H32" s="112" t="s">
        <v>216</v>
      </c>
      <c r="I32" s="112" t="s">
        <v>216</v>
      </c>
      <c r="J32" s="469" t="str">
        <f>IFERROR((I32-H32)/H32,"-")</f>
        <v>-</v>
      </c>
    </row>
    <row r="33" spans="7:10">
      <c r="G33" s="458" t="s">
        <v>90</v>
      </c>
      <c r="H33" s="459"/>
      <c r="I33" s="459"/>
      <c r="J33" s="460"/>
    </row>
  </sheetData>
  <mergeCells count="8">
    <mergeCell ref="B32:E32"/>
    <mergeCell ref="G33:J33"/>
    <mergeCell ref="B7:E7"/>
    <mergeCell ref="G7:J7"/>
    <mergeCell ref="B19:E19"/>
    <mergeCell ref="G19:J19"/>
    <mergeCell ref="B21:E21"/>
    <mergeCell ref="G21:J21"/>
  </mergeCells>
  <hyperlinks>
    <hyperlink ref="L21" location="'Gráfico EM munic y ca 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colBreaks count="1" manualBreakCount="1">
    <brk id="5" max="43" man="1"/>
  </colBreaks>
  <drawing r:id="rId2"/>
  <legacyDrawingHF r:id="rId3"/>
</worksheet>
</file>

<file path=xl/worksheets/sheet88.xml><?xml version="1.0" encoding="utf-8"?>
<worksheet xmlns="http://schemas.openxmlformats.org/spreadsheetml/2006/main" xmlns:r="http://schemas.openxmlformats.org/officeDocument/2006/relationships">
  <sheetPr codeName="Hoja48">
    <tabColor rgb="FF000099"/>
    <pageSetUpPr autoPageBreaks="0" fitToPage="1"/>
  </sheetPr>
  <dimension ref="B6:S44"/>
  <sheetViews>
    <sheetView showGridLines="0" showRowColHeaders="0" showOutlineSymbols="0" zoomScaleNormal="100" workbookViewId="0">
      <selection activeCell="B25" sqref="B25"/>
    </sheetView>
  </sheetViews>
  <sheetFormatPr baseColWidth="10" defaultRowHeight="12.75"/>
  <cols>
    <col min="1" max="1" width="1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60" t="s">
        <v>51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EM municipio y categ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89.xml><?xml version="1.0" encoding="utf-8"?>
<worksheet xmlns="http://schemas.openxmlformats.org/spreadsheetml/2006/main" xmlns:r="http://schemas.openxmlformats.org/officeDocument/2006/relationships">
  <sheetPr codeName="Hoja93">
    <tabColor rgb="FF000099"/>
    <pageSetUpPr autoPageBreaks="0" fitToPage="1"/>
  </sheetPr>
  <dimension ref="B1:K34"/>
  <sheetViews>
    <sheetView showGridLines="0" showRowColHeaders="0" showOutlineSymbols="0" zoomScaleNormal="100" workbookViewId="0">
      <selection activeCell="B25" sqref="B25"/>
    </sheetView>
  </sheetViews>
  <sheetFormatPr baseColWidth="10" defaultRowHeight="12"/>
  <cols>
    <col min="1" max="1" width="13.5703125" style="479" customWidth="1"/>
    <col min="2" max="2" width="23.7109375" style="479" customWidth="1"/>
    <col min="3" max="3" width="10.7109375" style="479" customWidth="1"/>
    <col min="4" max="4" width="9.85546875" style="479" customWidth="1"/>
    <col min="5" max="7" width="10.7109375" style="479" customWidth="1"/>
    <col min="8" max="256" width="11.42578125" style="479"/>
    <col min="257" max="257" width="13.5703125" style="479" customWidth="1"/>
    <col min="258" max="258" width="23.7109375" style="479" customWidth="1"/>
    <col min="259" max="263" width="10.7109375" style="479" customWidth="1"/>
    <col min="264" max="512" width="11.42578125" style="479"/>
    <col min="513" max="513" width="13.5703125" style="479" customWidth="1"/>
    <col min="514" max="514" width="23.7109375" style="479" customWidth="1"/>
    <col min="515" max="519" width="10.7109375" style="479" customWidth="1"/>
    <col min="520" max="768" width="11.42578125" style="479"/>
    <col min="769" max="769" width="13.5703125" style="479" customWidth="1"/>
    <col min="770" max="770" width="23.7109375" style="479" customWidth="1"/>
    <col min="771" max="775" width="10.7109375" style="479" customWidth="1"/>
    <col min="776" max="1024" width="11.42578125" style="479"/>
    <col min="1025" max="1025" width="13.5703125" style="479" customWidth="1"/>
    <col min="1026" max="1026" width="23.7109375" style="479" customWidth="1"/>
    <col min="1027" max="1031" width="10.7109375" style="479" customWidth="1"/>
    <col min="1032" max="1280" width="11.42578125" style="479"/>
    <col min="1281" max="1281" width="13.5703125" style="479" customWidth="1"/>
    <col min="1282" max="1282" width="23.7109375" style="479" customWidth="1"/>
    <col min="1283" max="1287" width="10.7109375" style="479" customWidth="1"/>
    <col min="1288" max="1536" width="11.42578125" style="479"/>
    <col min="1537" max="1537" width="13.5703125" style="479" customWidth="1"/>
    <col min="1538" max="1538" width="23.7109375" style="479" customWidth="1"/>
    <col min="1539" max="1543" width="10.7109375" style="479" customWidth="1"/>
    <col min="1544" max="1792" width="11.42578125" style="479"/>
    <col min="1793" max="1793" width="13.5703125" style="479" customWidth="1"/>
    <col min="1794" max="1794" width="23.7109375" style="479" customWidth="1"/>
    <col min="1795" max="1799" width="10.7109375" style="479" customWidth="1"/>
    <col min="1800" max="2048" width="11.42578125" style="479"/>
    <col min="2049" max="2049" width="13.5703125" style="479" customWidth="1"/>
    <col min="2050" max="2050" width="23.7109375" style="479" customWidth="1"/>
    <col min="2051" max="2055" width="10.7109375" style="479" customWidth="1"/>
    <col min="2056" max="2304" width="11.42578125" style="479"/>
    <col min="2305" max="2305" width="13.5703125" style="479" customWidth="1"/>
    <col min="2306" max="2306" width="23.7109375" style="479" customWidth="1"/>
    <col min="2307" max="2311" width="10.7109375" style="479" customWidth="1"/>
    <col min="2312" max="2560" width="11.42578125" style="479"/>
    <col min="2561" max="2561" width="13.5703125" style="479" customWidth="1"/>
    <col min="2562" max="2562" width="23.7109375" style="479" customWidth="1"/>
    <col min="2563" max="2567" width="10.7109375" style="479" customWidth="1"/>
    <col min="2568" max="2816" width="11.42578125" style="479"/>
    <col min="2817" max="2817" width="13.5703125" style="479" customWidth="1"/>
    <col min="2818" max="2818" width="23.7109375" style="479" customWidth="1"/>
    <col min="2819" max="2823" width="10.7109375" style="479" customWidth="1"/>
    <col min="2824" max="3072" width="11.42578125" style="479"/>
    <col min="3073" max="3073" width="13.5703125" style="479" customWidth="1"/>
    <col min="3074" max="3074" width="23.7109375" style="479" customWidth="1"/>
    <col min="3075" max="3079" width="10.7109375" style="479" customWidth="1"/>
    <col min="3080" max="3328" width="11.42578125" style="479"/>
    <col min="3329" max="3329" width="13.5703125" style="479" customWidth="1"/>
    <col min="3330" max="3330" width="23.7109375" style="479" customWidth="1"/>
    <col min="3331" max="3335" width="10.7109375" style="479" customWidth="1"/>
    <col min="3336" max="3584" width="11.42578125" style="479"/>
    <col min="3585" max="3585" width="13.5703125" style="479" customWidth="1"/>
    <col min="3586" max="3586" width="23.7109375" style="479" customWidth="1"/>
    <col min="3587" max="3591" width="10.7109375" style="479" customWidth="1"/>
    <col min="3592" max="3840" width="11.42578125" style="479"/>
    <col min="3841" max="3841" width="13.5703125" style="479" customWidth="1"/>
    <col min="3842" max="3842" width="23.7109375" style="479" customWidth="1"/>
    <col min="3843" max="3847" width="10.7109375" style="479" customWidth="1"/>
    <col min="3848" max="4096" width="11.42578125" style="479"/>
    <col min="4097" max="4097" width="13.5703125" style="479" customWidth="1"/>
    <col min="4098" max="4098" width="23.7109375" style="479" customWidth="1"/>
    <col min="4099" max="4103" width="10.7109375" style="479" customWidth="1"/>
    <col min="4104" max="4352" width="11.42578125" style="479"/>
    <col min="4353" max="4353" width="13.5703125" style="479" customWidth="1"/>
    <col min="4354" max="4354" width="23.7109375" style="479" customWidth="1"/>
    <col min="4355" max="4359" width="10.7109375" style="479" customWidth="1"/>
    <col min="4360" max="4608" width="11.42578125" style="479"/>
    <col min="4609" max="4609" width="13.5703125" style="479" customWidth="1"/>
    <col min="4610" max="4610" width="23.7109375" style="479" customWidth="1"/>
    <col min="4611" max="4615" width="10.7109375" style="479" customWidth="1"/>
    <col min="4616" max="4864" width="11.42578125" style="479"/>
    <col min="4865" max="4865" width="13.5703125" style="479" customWidth="1"/>
    <col min="4866" max="4866" width="23.7109375" style="479" customWidth="1"/>
    <col min="4867" max="4871" width="10.7109375" style="479" customWidth="1"/>
    <col min="4872" max="5120" width="11.42578125" style="479"/>
    <col min="5121" max="5121" width="13.5703125" style="479" customWidth="1"/>
    <col min="5122" max="5122" width="23.7109375" style="479" customWidth="1"/>
    <col min="5123" max="5127" width="10.7109375" style="479" customWidth="1"/>
    <col min="5128" max="5376" width="11.42578125" style="479"/>
    <col min="5377" max="5377" width="13.5703125" style="479" customWidth="1"/>
    <col min="5378" max="5378" width="23.7109375" style="479" customWidth="1"/>
    <col min="5379" max="5383" width="10.7109375" style="479" customWidth="1"/>
    <col min="5384" max="5632" width="11.42578125" style="479"/>
    <col min="5633" max="5633" width="13.5703125" style="479" customWidth="1"/>
    <col min="5634" max="5634" width="23.7109375" style="479" customWidth="1"/>
    <col min="5635" max="5639" width="10.7109375" style="479" customWidth="1"/>
    <col min="5640" max="5888" width="11.42578125" style="479"/>
    <col min="5889" max="5889" width="13.5703125" style="479" customWidth="1"/>
    <col min="5890" max="5890" width="23.7109375" style="479" customWidth="1"/>
    <col min="5891" max="5895" width="10.7109375" style="479" customWidth="1"/>
    <col min="5896" max="6144" width="11.42578125" style="479"/>
    <col min="6145" max="6145" width="13.5703125" style="479" customWidth="1"/>
    <col min="6146" max="6146" width="23.7109375" style="479" customWidth="1"/>
    <col min="6147" max="6151" width="10.7109375" style="479" customWidth="1"/>
    <col min="6152" max="6400" width="11.42578125" style="479"/>
    <col min="6401" max="6401" width="13.5703125" style="479" customWidth="1"/>
    <col min="6402" max="6402" width="23.7109375" style="479" customWidth="1"/>
    <col min="6403" max="6407" width="10.7109375" style="479" customWidth="1"/>
    <col min="6408" max="6656" width="11.42578125" style="479"/>
    <col min="6657" max="6657" width="13.5703125" style="479" customWidth="1"/>
    <col min="6658" max="6658" width="23.7109375" style="479" customWidth="1"/>
    <col min="6659" max="6663" width="10.7109375" style="479" customWidth="1"/>
    <col min="6664" max="6912" width="11.42578125" style="479"/>
    <col min="6913" max="6913" width="13.5703125" style="479" customWidth="1"/>
    <col min="6914" max="6914" width="23.7109375" style="479" customWidth="1"/>
    <col min="6915" max="6919" width="10.7109375" style="479" customWidth="1"/>
    <col min="6920" max="7168" width="11.42578125" style="479"/>
    <col min="7169" max="7169" width="13.5703125" style="479" customWidth="1"/>
    <col min="7170" max="7170" width="23.7109375" style="479" customWidth="1"/>
    <col min="7171" max="7175" width="10.7109375" style="479" customWidth="1"/>
    <col min="7176" max="7424" width="11.42578125" style="479"/>
    <col min="7425" max="7425" width="13.5703125" style="479" customWidth="1"/>
    <col min="7426" max="7426" width="23.7109375" style="479" customWidth="1"/>
    <col min="7427" max="7431" width="10.7109375" style="479" customWidth="1"/>
    <col min="7432" max="7680" width="11.42578125" style="479"/>
    <col min="7681" max="7681" width="13.5703125" style="479" customWidth="1"/>
    <col min="7682" max="7682" width="23.7109375" style="479" customWidth="1"/>
    <col min="7683" max="7687" width="10.7109375" style="479" customWidth="1"/>
    <col min="7688" max="7936" width="11.42578125" style="479"/>
    <col min="7937" max="7937" width="13.5703125" style="479" customWidth="1"/>
    <col min="7938" max="7938" width="23.7109375" style="479" customWidth="1"/>
    <col min="7939" max="7943" width="10.7109375" style="479" customWidth="1"/>
    <col min="7944" max="8192" width="11.42578125" style="479"/>
    <col min="8193" max="8193" width="13.5703125" style="479" customWidth="1"/>
    <col min="8194" max="8194" width="23.7109375" style="479" customWidth="1"/>
    <col min="8195" max="8199" width="10.7109375" style="479" customWidth="1"/>
    <col min="8200" max="8448" width="11.42578125" style="479"/>
    <col min="8449" max="8449" width="13.5703125" style="479" customWidth="1"/>
    <col min="8450" max="8450" width="23.7109375" style="479" customWidth="1"/>
    <col min="8451" max="8455" width="10.7109375" style="479" customWidth="1"/>
    <col min="8456" max="8704" width="11.42578125" style="479"/>
    <col min="8705" max="8705" width="13.5703125" style="479" customWidth="1"/>
    <col min="8706" max="8706" width="23.7109375" style="479" customWidth="1"/>
    <col min="8707" max="8711" width="10.7109375" style="479" customWidth="1"/>
    <col min="8712" max="8960" width="11.42578125" style="479"/>
    <col min="8961" max="8961" width="13.5703125" style="479" customWidth="1"/>
    <col min="8962" max="8962" width="23.7109375" style="479" customWidth="1"/>
    <col min="8963" max="8967" width="10.7109375" style="479" customWidth="1"/>
    <col min="8968" max="9216" width="11.42578125" style="479"/>
    <col min="9217" max="9217" width="13.5703125" style="479" customWidth="1"/>
    <col min="9218" max="9218" width="23.7109375" style="479" customWidth="1"/>
    <col min="9219" max="9223" width="10.7109375" style="479" customWidth="1"/>
    <col min="9224" max="9472" width="11.42578125" style="479"/>
    <col min="9473" max="9473" width="13.5703125" style="479" customWidth="1"/>
    <col min="9474" max="9474" width="23.7109375" style="479" customWidth="1"/>
    <col min="9475" max="9479" width="10.7109375" style="479" customWidth="1"/>
    <col min="9480" max="9728" width="11.42578125" style="479"/>
    <col min="9729" max="9729" width="13.5703125" style="479" customWidth="1"/>
    <col min="9730" max="9730" width="23.7109375" style="479" customWidth="1"/>
    <col min="9731" max="9735" width="10.7109375" style="479" customWidth="1"/>
    <col min="9736" max="9984" width="11.42578125" style="479"/>
    <col min="9985" max="9985" width="13.5703125" style="479" customWidth="1"/>
    <col min="9986" max="9986" width="23.7109375" style="479" customWidth="1"/>
    <col min="9987" max="9991" width="10.7109375" style="479" customWidth="1"/>
    <col min="9992" max="10240" width="11.42578125" style="479"/>
    <col min="10241" max="10241" width="13.5703125" style="479" customWidth="1"/>
    <col min="10242" max="10242" width="23.7109375" style="479" customWidth="1"/>
    <col min="10243" max="10247" width="10.7109375" style="479" customWidth="1"/>
    <col min="10248" max="10496" width="11.42578125" style="479"/>
    <col min="10497" max="10497" width="13.5703125" style="479" customWidth="1"/>
    <col min="10498" max="10498" width="23.7109375" style="479" customWidth="1"/>
    <col min="10499" max="10503" width="10.7109375" style="479" customWidth="1"/>
    <col min="10504" max="10752" width="11.42578125" style="479"/>
    <col min="10753" max="10753" width="13.5703125" style="479" customWidth="1"/>
    <col min="10754" max="10754" width="23.7109375" style="479" customWidth="1"/>
    <col min="10755" max="10759" width="10.7109375" style="479" customWidth="1"/>
    <col min="10760" max="11008" width="11.42578125" style="479"/>
    <col min="11009" max="11009" width="13.5703125" style="479" customWidth="1"/>
    <col min="11010" max="11010" width="23.7109375" style="479" customWidth="1"/>
    <col min="11011" max="11015" width="10.7109375" style="479" customWidth="1"/>
    <col min="11016" max="11264" width="11.42578125" style="479"/>
    <col min="11265" max="11265" width="13.5703125" style="479" customWidth="1"/>
    <col min="11266" max="11266" width="23.7109375" style="479" customWidth="1"/>
    <col min="11267" max="11271" width="10.7109375" style="479" customWidth="1"/>
    <col min="11272" max="11520" width="11.42578125" style="479"/>
    <col min="11521" max="11521" width="13.5703125" style="479" customWidth="1"/>
    <col min="11522" max="11522" width="23.7109375" style="479" customWidth="1"/>
    <col min="11523" max="11527" width="10.7109375" style="479" customWidth="1"/>
    <col min="11528" max="11776" width="11.42578125" style="479"/>
    <col min="11777" max="11777" width="13.5703125" style="479" customWidth="1"/>
    <col min="11778" max="11778" width="23.7109375" style="479" customWidth="1"/>
    <col min="11779" max="11783" width="10.7109375" style="479" customWidth="1"/>
    <col min="11784" max="12032" width="11.42578125" style="479"/>
    <col min="12033" max="12033" width="13.5703125" style="479" customWidth="1"/>
    <col min="12034" max="12034" width="23.7109375" style="479" customWidth="1"/>
    <col min="12035" max="12039" width="10.7109375" style="479" customWidth="1"/>
    <col min="12040" max="12288" width="11.42578125" style="479"/>
    <col min="12289" max="12289" width="13.5703125" style="479" customWidth="1"/>
    <col min="12290" max="12290" width="23.7109375" style="479" customWidth="1"/>
    <col min="12291" max="12295" width="10.7109375" style="479" customWidth="1"/>
    <col min="12296" max="12544" width="11.42578125" style="479"/>
    <col min="12545" max="12545" width="13.5703125" style="479" customWidth="1"/>
    <col min="12546" max="12546" width="23.7109375" style="479" customWidth="1"/>
    <col min="12547" max="12551" width="10.7109375" style="479" customWidth="1"/>
    <col min="12552" max="12800" width="11.42578125" style="479"/>
    <col min="12801" max="12801" width="13.5703125" style="479" customWidth="1"/>
    <col min="12802" max="12802" width="23.7109375" style="479" customWidth="1"/>
    <col min="12803" max="12807" width="10.7109375" style="479" customWidth="1"/>
    <col min="12808" max="13056" width="11.42578125" style="479"/>
    <col min="13057" max="13057" width="13.5703125" style="479" customWidth="1"/>
    <col min="13058" max="13058" width="23.7109375" style="479" customWidth="1"/>
    <col min="13059" max="13063" width="10.7109375" style="479" customWidth="1"/>
    <col min="13064" max="13312" width="11.42578125" style="479"/>
    <col min="13313" max="13313" width="13.5703125" style="479" customWidth="1"/>
    <col min="13314" max="13314" width="23.7109375" style="479" customWidth="1"/>
    <col min="13315" max="13319" width="10.7109375" style="479" customWidth="1"/>
    <col min="13320" max="13568" width="11.42578125" style="479"/>
    <col min="13569" max="13569" width="13.5703125" style="479" customWidth="1"/>
    <col min="13570" max="13570" width="23.7109375" style="479" customWidth="1"/>
    <col min="13571" max="13575" width="10.7109375" style="479" customWidth="1"/>
    <col min="13576" max="13824" width="11.42578125" style="479"/>
    <col min="13825" max="13825" width="13.5703125" style="479" customWidth="1"/>
    <col min="13826" max="13826" width="23.7109375" style="479" customWidth="1"/>
    <col min="13827" max="13831" width="10.7109375" style="479" customWidth="1"/>
    <col min="13832" max="14080" width="11.42578125" style="479"/>
    <col min="14081" max="14081" width="13.5703125" style="479" customWidth="1"/>
    <col min="14082" max="14082" width="23.7109375" style="479" customWidth="1"/>
    <col min="14083" max="14087" width="10.7109375" style="479" customWidth="1"/>
    <col min="14088" max="14336" width="11.42578125" style="479"/>
    <col min="14337" max="14337" width="13.5703125" style="479" customWidth="1"/>
    <col min="14338" max="14338" width="23.7109375" style="479" customWidth="1"/>
    <col min="14339" max="14343" width="10.7109375" style="479" customWidth="1"/>
    <col min="14344" max="14592" width="11.42578125" style="479"/>
    <col min="14593" max="14593" width="13.5703125" style="479" customWidth="1"/>
    <col min="14594" max="14594" width="23.7109375" style="479" customWidth="1"/>
    <col min="14595" max="14599" width="10.7109375" style="479" customWidth="1"/>
    <col min="14600" max="14848" width="11.42578125" style="479"/>
    <col min="14849" max="14849" width="13.5703125" style="479" customWidth="1"/>
    <col min="14850" max="14850" width="23.7109375" style="479" customWidth="1"/>
    <col min="14851" max="14855" width="10.7109375" style="479" customWidth="1"/>
    <col min="14856" max="15104" width="11.42578125" style="479"/>
    <col min="15105" max="15105" width="13.5703125" style="479" customWidth="1"/>
    <col min="15106" max="15106" width="23.7109375" style="479" customWidth="1"/>
    <col min="15107" max="15111" width="10.7109375" style="479" customWidth="1"/>
    <col min="15112" max="15360" width="11.42578125" style="479"/>
    <col min="15361" max="15361" width="13.5703125" style="479" customWidth="1"/>
    <col min="15362" max="15362" width="23.7109375" style="479" customWidth="1"/>
    <col min="15363" max="15367" width="10.7109375" style="479" customWidth="1"/>
    <col min="15368" max="15616" width="11.42578125" style="479"/>
    <col min="15617" max="15617" width="13.5703125" style="479" customWidth="1"/>
    <col min="15618" max="15618" width="23.7109375" style="479" customWidth="1"/>
    <col min="15619" max="15623" width="10.7109375" style="479" customWidth="1"/>
    <col min="15624" max="15872" width="11.42578125" style="479"/>
    <col min="15873" max="15873" width="13.5703125" style="479" customWidth="1"/>
    <col min="15874" max="15874" width="23.7109375" style="479" customWidth="1"/>
    <col min="15875" max="15879" width="10.7109375" style="479" customWidth="1"/>
    <col min="15880" max="16128" width="11.42578125" style="479"/>
    <col min="16129" max="16129" width="13.5703125" style="479" customWidth="1"/>
    <col min="16130" max="16130" width="23.7109375" style="479" customWidth="1"/>
    <col min="16131" max="16135" width="10.7109375" style="479" customWidth="1"/>
    <col min="16136" max="16384" width="11.42578125" style="479"/>
  </cols>
  <sheetData>
    <row r="1" spans="2:7" ht="12.75">
      <c r="B1" s="118"/>
    </row>
    <row r="2" spans="2:7" ht="12.75">
      <c r="B2" s="118"/>
    </row>
    <row r="3" spans="2:7" ht="12.75">
      <c r="B3" s="118"/>
    </row>
    <row r="4" spans="2:7" ht="12.75">
      <c r="B4" s="118"/>
    </row>
    <row r="5" spans="2:7" ht="12.75">
      <c r="B5" s="118"/>
    </row>
    <row r="6" spans="2:7" ht="18.75" customHeight="1">
      <c r="B6" s="480" t="s">
        <v>333</v>
      </c>
      <c r="C6" s="259"/>
      <c r="D6" s="259"/>
      <c r="E6" s="259"/>
      <c r="F6" s="259"/>
      <c r="G6" s="260"/>
    </row>
    <row r="7" spans="2:7" ht="12.75">
      <c r="B7" s="262" t="str">
        <f>actualizaciones!$A$2</f>
        <v xml:space="preserve">acumulado julio 2010 </v>
      </c>
      <c r="C7" s="263"/>
      <c r="D7" s="263"/>
      <c r="E7" s="263"/>
      <c r="F7" s="263"/>
      <c r="G7" s="264"/>
    </row>
    <row r="8" spans="2:7" ht="29.25" customHeight="1">
      <c r="B8" s="481" t="s">
        <v>158</v>
      </c>
      <c r="C8" s="482" t="s">
        <v>93</v>
      </c>
      <c r="D8" s="483" t="s">
        <v>307</v>
      </c>
      <c r="E8" s="483" t="s">
        <v>306</v>
      </c>
      <c r="F8" s="484" t="s">
        <v>334</v>
      </c>
      <c r="G8" s="484" t="s">
        <v>305</v>
      </c>
    </row>
    <row r="9" spans="2:7">
      <c r="B9" s="485" t="s">
        <v>159</v>
      </c>
      <c r="C9" s="486">
        <f>GETPIVOTDATA("Suma de TOTAL GENERAL",'[1]tabla dinámica nacionalidad zon'!$A$3,"PAIS/INDICADOR","ESPAÑA","AÑO",2010)</f>
        <v>850747</v>
      </c>
      <c r="D9" s="486">
        <f>GETPIVOTDATA("dato",'[1]tabla dinámica nacionalidad zon'!$A$36,"indicador","España","municipio","SANTA CRUZ","año",2010)</f>
        <v>76373</v>
      </c>
      <c r="E9" s="486">
        <f>GETPIVOTDATA("dato",'[1]tabla dinámica nacionalidad zon'!$A$36,"indicador","España","municipio","PUERTO DE LA CRUZ","año",2010)</f>
        <v>257347</v>
      </c>
      <c r="F9" s="486">
        <f>GETPIVOTDATA("dato",'[1]tabla dinámica nacionalidad zon'!$A$36,"indicador","España","municipio","ADEJE","año",2010)</f>
        <v>217518</v>
      </c>
      <c r="G9" s="486">
        <f>GETPIVOTDATA("dato",'[1]tabla dinámica nacionalidad zon'!$A$36,"indicador","España","municipio","ARONA","año",2010)</f>
        <v>138186</v>
      </c>
    </row>
    <row r="10" spans="2:7">
      <c r="B10" s="487" t="s">
        <v>161</v>
      </c>
      <c r="C10" s="488">
        <f>GETPIVOTDATA("Suma de TOTAL GENERAL",'[1]tabla dinámica nacionalidad zon'!$A$3,"PAIS/INDICADOR","holanda","AÑO",2010)</f>
        <v>80466</v>
      </c>
      <c r="D10" s="488">
        <f>GETPIVOTDATA("dato",'[1]tabla dinámica nacionalidad zon'!$A$36,"indicador","HOLANDA","municipio","SANTA CRUZ","año",2010)</f>
        <v>506</v>
      </c>
      <c r="E10" s="488">
        <f>GETPIVOTDATA("dato",'[1]tabla dinámica nacionalidad zon'!$A$36,"indicador","HOLANDA","municipio","PUERTO DE LA CRUZ","año",2010)</f>
        <v>1758</v>
      </c>
      <c r="F10" s="488">
        <f>GETPIVOTDATA("dato",'[1]tabla dinámica nacionalidad zon'!$A$36,"indicador","HOLANDA","municipio","ADEJE","año",2010)</f>
        <v>33893</v>
      </c>
      <c r="G10" s="488">
        <f>GETPIVOTDATA("dato",'[1]tabla dinámica nacionalidad zon'!$A$36,"indicador","HOLANDA","municipio","ARONA","año",2010)</f>
        <v>37701</v>
      </c>
    </row>
    <row r="11" spans="2:7">
      <c r="B11" s="487" t="s">
        <v>162</v>
      </c>
      <c r="C11" s="488">
        <f>GETPIVOTDATA("Suma de TOTAL GENERAL",'[1]tabla dinámica nacionalidad zon'!$A$3,"PAIS/INDICADOR","belgica","AÑO",2010)</f>
        <v>73102</v>
      </c>
      <c r="D11" s="488">
        <f>GETPIVOTDATA("dato",'[1]tabla dinámica nacionalidad zon'!$A$36,"indicador","BÉLGICA","municipio","SANTA CRUZ","año",2010)</f>
        <v>340</v>
      </c>
      <c r="E11" s="488">
        <f>GETPIVOTDATA("dato",'[1]tabla dinámica nacionalidad zon'!$A$36,"indicador","BÉLGICA","municipio","PUERTO DE LA CRUZ","año",2010)</f>
        <v>1413</v>
      </c>
      <c r="F11" s="488">
        <f>GETPIVOTDATA("dato",'[1]tabla dinámica nacionalidad zon'!$A$36,"indicador","BÉLGICA","municipio","ADEJE","año",2010)</f>
        <v>38165</v>
      </c>
      <c r="G11" s="488">
        <f>GETPIVOTDATA("dato",'[1]tabla dinámica nacionalidad zon'!$A$36,"indicador","BÉLGICA","municipio","ARONA","año",2010)</f>
        <v>27963</v>
      </c>
    </row>
    <row r="12" spans="2:7">
      <c r="B12" s="487" t="s">
        <v>163</v>
      </c>
      <c r="C12" s="488">
        <f>GETPIVOTDATA("Suma de TOTAL GENERAL",'[1]tabla dinámica nacionalidad zon'!$A$3,"PAIS/INDICADOR","alemania","AÑO",2010)</f>
        <v>304899</v>
      </c>
      <c r="D12" s="488">
        <f>GETPIVOTDATA("dato",'[1]tabla dinámica nacionalidad zon'!$A$36,"indicador","ALEMANIA","municipio","SANTA CRUZ","año",2010)</f>
        <v>1950</v>
      </c>
      <c r="E12" s="488">
        <f>GETPIVOTDATA("dato",'[1]tabla dinámica nacionalidad zon'!$A$36,"indicador","ALEMANIA","municipio","PUERTO DE LA CRUZ","año",2010)</f>
        <v>75555</v>
      </c>
      <c r="F12" s="488">
        <f>GETPIVOTDATA("dato",'[1]tabla dinámica nacionalidad zon'!$A$36,"indicador","ALEMANIA","municipio","ADEJE","año",2010)</f>
        <v>132424</v>
      </c>
      <c r="G12" s="488">
        <f>GETPIVOTDATA("dato",'[1]tabla dinámica nacionalidad zon'!$A$36,"indicador","ALEMANIA","municipio","ARONA","año",2010)</f>
        <v>47521</v>
      </c>
    </row>
    <row r="13" spans="2:7">
      <c r="B13" s="487" t="s">
        <v>164</v>
      </c>
      <c r="C13" s="488">
        <f>GETPIVOTDATA("Suma de TOTAL GENERAL",'[1]tabla dinámica nacionalidad zon'!$A$3,"PAIS/INDICADOR","francia","AÑO",2010)</f>
        <v>67347</v>
      </c>
      <c r="D13" s="488">
        <f>GETPIVOTDATA("dato",'[1]tabla dinámica nacionalidad zon'!$A$36,"indicador","FRANCIA","municipio","SANTA CRUZ","año",2010)</f>
        <v>1375</v>
      </c>
      <c r="E13" s="488">
        <f>GETPIVOTDATA("dato",'[1]tabla dinámica nacionalidad zon'!$A$36,"indicador","FRANCIA","municipio","PUERTO DE LA CRUZ","año",2010)</f>
        <v>8822</v>
      </c>
      <c r="F13" s="488">
        <f>GETPIVOTDATA("dato",'[1]tabla dinámica nacionalidad zon'!$A$36,"indicador","FRANCIA","municipio","ADEJE","año",2010)</f>
        <v>24738</v>
      </c>
      <c r="G13" s="488">
        <f>GETPIVOTDATA("dato",'[1]tabla dinámica nacionalidad zon'!$A$36,"indicador","FRANCIA","municipio","ARONA","año",2010)</f>
        <v>17875</v>
      </c>
    </row>
    <row r="14" spans="2:7">
      <c r="B14" s="487" t="s">
        <v>165</v>
      </c>
      <c r="C14" s="488">
        <f>GETPIVOTDATA("Suma de TOTAL GENERAL",'[1]tabla dinámica nacionalidad zon'!$A$3,"PAIS/INDICADOR","reino unido","AÑO",2010)</f>
        <v>857504</v>
      </c>
      <c r="D14" s="488">
        <f>GETPIVOTDATA("dato",'[1]tabla dinámica nacionalidad zon'!$A$36,"indicador","REINO UNIDO","municipio","SANTA CRUZ","año",2010)</f>
        <v>1735</v>
      </c>
      <c r="E14" s="488">
        <f>GETPIVOTDATA("dato",'[1]tabla dinámica nacionalidad zon'!$A$36,"indicador","REINO UNIDO","municipio","PUERTO DE LA CRUZ","año",2010)</f>
        <v>25180</v>
      </c>
      <c r="F14" s="488">
        <f>GETPIVOTDATA("dato",'[1]tabla dinámica nacionalidad zon'!$A$36,"indicador","REINO UNIDO","municipio","ADEJE","año",2010)</f>
        <v>325181</v>
      </c>
      <c r="G14" s="488">
        <f>GETPIVOTDATA("dato",'[1]tabla dinámica nacionalidad zon'!$A$36,"indicador","REINO UNIDO","municipio","ARONA","año",2010)</f>
        <v>342556</v>
      </c>
    </row>
    <row r="15" spans="2:7">
      <c r="B15" s="487" t="s">
        <v>166</v>
      </c>
      <c r="C15" s="488">
        <f>GETPIVOTDATA("Suma de TOTAL GENERAL",'[1]tabla dinámica nacionalidad zon'!$A$3,"PAIS/INDICADOR","irlanda","AÑO",2010)</f>
        <v>43340</v>
      </c>
      <c r="D15" s="488">
        <f>GETPIVOTDATA("dato",'[1]tabla dinámica nacionalidad zon'!$A$36,"indicador","IRLANDA","municipio","SANTA CRUZ","año",2010)</f>
        <v>238</v>
      </c>
      <c r="E15" s="488">
        <f>GETPIVOTDATA("dato",'[1]tabla dinámica nacionalidad zon'!$A$36,"indicador","IRLANDA","municipio","PUERTO DE LA CRUZ","año",2010)</f>
        <v>944</v>
      </c>
      <c r="F15" s="488">
        <f>GETPIVOTDATA("dato",'[1]tabla dinámica nacionalidad zon'!$A$36,"indicador","IRLANDA","municipio","ADEJE","año",2010)</f>
        <v>15663</v>
      </c>
      <c r="G15" s="488">
        <f>GETPIVOTDATA("dato",'[1]tabla dinámica nacionalidad zon'!$A$36,"indicador","IRLANDA","municipio","ARONA","año",2010)</f>
        <v>23249</v>
      </c>
    </row>
    <row r="16" spans="2:7">
      <c r="B16" s="487" t="s">
        <v>167</v>
      </c>
      <c r="C16" s="488">
        <f>GETPIVOTDATA("Suma de TOTAL GENERAL",'[1]tabla dinámica nacionalidad zon'!$A$3,"PAIS/INDICADOR","italia","AÑO",2010)</f>
        <v>49894</v>
      </c>
      <c r="D16" s="488">
        <f>GETPIVOTDATA("dato",'[1]tabla dinámica nacionalidad zon'!$A$36,"indicador","ITALIA","municipio","SANTA CRUZ","año",2010)</f>
        <v>1493</v>
      </c>
      <c r="E16" s="488">
        <f>GETPIVOTDATA("dato",'[1]tabla dinámica nacionalidad zon'!$A$36,"indicador","ITALIA","municipio","PUERTO DE LA CRUZ","año",2010)</f>
        <v>2753</v>
      </c>
      <c r="F16" s="488">
        <f>GETPIVOTDATA("dato",'[1]tabla dinámica nacionalidad zon'!$A$36,"indicador","ITALIA","municipio","ADEJE","año",2010)</f>
        <v>23620</v>
      </c>
      <c r="G16" s="488">
        <f>GETPIVOTDATA("dato",'[1]tabla dinámica nacionalidad zon'!$A$36,"indicador","ITALIA","municipio","ARONA","año",2010)</f>
        <v>17079</v>
      </c>
    </row>
    <row r="17" spans="2:11">
      <c r="B17" s="487" t="s">
        <v>168</v>
      </c>
      <c r="C17" s="488">
        <f>SUM(C18:C21)</f>
        <v>213839</v>
      </c>
      <c r="D17" s="488">
        <f>SUM(D18:D21)</f>
        <v>917</v>
      </c>
      <c r="E17" s="488">
        <f>SUM(E18:E21)</f>
        <v>24366</v>
      </c>
      <c r="F17" s="488">
        <f>SUM(F18:F21)</f>
        <v>63579</v>
      </c>
      <c r="G17" s="488">
        <f>SUM(G18:G21)</f>
        <v>109944</v>
      </c>
    </row>
    <row r="18" spans="2:11">
      <c r="B18" s="489" t="s">
        <v>169</v>
      </c>
      <c r="C18" s="488">
        <f>GETPIVOTDATA("Suma de TOTAL GENERAL",'[1]tabla dinámica nacionalidad zon'!$A$3,"PAIS/INDICADOR","suecia","AÑO",2010)</f>
        <v>65837</v>
      </c>
      <c r="D18" s="488">
        <f>GETPIVOTDATA("dato",'[1]tabla dinámica nacionalidad zon'!$A$36,"indicador","SUECIA","municipio","SANTA CRUZ","año",2010)</f>
        <v>254</v>
      </c>
      <c r="E18" s="488">
        <f>GETPIVOTDATA("dato",'[1]tabla dinámica nacionalidad zon'!$A$36,"indicador","SUECIA","municipio","PUERTO DE LA CRUZ","año",2010)</f>
        <v>5491</v>
      </c>
      <c r="F18" s="488">
        <f>GETPIVOTDATA("dato",'[1]tabla dinámica nacionalidad zon'!$A$36,"indicador","SUECIA","municipio","ADEJE","año",2010)</f>
        <v>21624</v>
      </c>
      <c r="G18" s="488">
        <f>GETPIVOTDATA("dato",'[1]tabla dinámica nacionalidad zon'!$A$36,"indicador","SUECIA","municipio","ARONA","año",2010)</f>
        <v>33132</v>
      </c>
    </row>
    <row r="19" spans="2:11">
      <c r="B19" s="489" t="s">
        <v>170</v>
      </c>
      <c r="C19" s="488">
        <f>GETPIVOTDATA("Suma de TOTAL GENERAL",'[1]tabla dinámica nacionalidad zon'!$A$3,"PAIS/INDICADOR","noruega","AÑO",2010)</f>
        <v>44573</v>
      </c>
      <c r="D19" s="488">
        <f>GETPIVOTDATA("dato",'[1]tabla dinámica nacionalidad zon'!$A$36,"indicador","NORUEGA","municipio","SANTA CRUZ","año",2010)</f>
        <v>171</v>
      </c>
      <c r="E19" s="488">
        <f>GETPIVOTDATA("dato",'[1]tabla dinámica nacionalidad zon'!$A$36,"indicador","NORUEGA","municipio","PUERTO DE LA CRUZ","año",2010)</f>
        <v>2401</v>
      </c>
      <c r="F19" s="488">
        <f>GETPIVOTDATA("dato",'[1]tabla dinámica nacionalidad zon'!$A$36,"indicador","NORUEGA","municipio","ADEJE","año",2010)</f>
        <v>11874</v>
      </c>
      <c r="G19" s="488">
        <f>GETPIVOTDATA("dato",'[1]tabla dinámica nacionalidad zon'!$A$36,"indicador","NORUEGA","municipio","ARONA","año",2010)</f>
        <v>27788</v>
      </c>
    </row>
    <row r="20" spans="2:11">
      <c r="B20" s="489" t="s">
        <v>171</v>
      </c>
      <c r="C20" s="488">
        <f>GETPIVOTDATA("Suma de TOTAL GENERAL",'[1]tabla dinámica nacionalidad zon'!$A$3,"PAIS/INDICADOR","dinamarca","AÑO",2010)</f>
        <v>47456</v>
      </c>
      <c r="D20" s="488">
        <f>GETPIVOTDATA("dato",'[1]tabla dinámica nacionalidad zon'!$A$36,"indicador","DINAMARCA","municipio","SANTA CRUZ","año",2010)</f>
        <v>209</v>
      </c>
      <c r="E20" s="488">
        <f>GETPIVOTDATA("dato",'[1]tabla dinámica nacionalidad zon'!$A$36,"indicador","DINAMARCA","municipio","PUERTO DE LA CRUZ","año",2010)</f>
        <v>3361</v>
      </c>
      <c r="F20" s="488">
        <f>GETPIVOTDATA("dato",'[1]tabla dinámica nacionalidad zon'!$A$36,"indicador","DINAMARCA","municipio","ADEJE","año",2010)</f>
        <v>17803</v>
      </c>
      <c r="G20" s="488">
        <f>GETPIVOTDATA("dato",'[1]tabla dinámica nacionalidad zon'!$A$36,"indicador","DINAMARCA","municipio","ARONA","año",2010)</f>
        <v>22430</v>
      </c>
    </row>
    <row r="21" spans="2:11">
      <c r="B21" s="489" t="s">
        <v>172</v>
      </c>
      <c r="C21" s="488">
        <f>GETPIVOTDATA("Suma de TOTAL GENERAL",'[1]tabla dinámica nacionalidad zon'!$A$3,"PAIS/INDICADOR","finlandia","AÑO",2010)</f>
        <v>55973</v>
      </c>
      <c r="D21" s="488">
        <f>GETPIVOTDATA("dato",'[1]tabla dinámica nacionalidad zon'!$A$36,"indicador","FINLANDIA","municipio","SANTA CRUZ","año",2010)</f>
        <v>283</v>
      </c>
      <c r="E21" s="488">
        <f>GETPIVOTDATA("dato",'[1]tabla dinámica nacionalidad zon'!$A$36,"indicador","FINLANDIA","municipio","PUERTO DE LA CRUZ","año",2010)</f>
        <v>13113</v>
      </c>
      <c r="F21" s="488">
        <f>GETPIVOTDATA("dato",'[1]tabla dinámica nacionalidad zon'!$A$36,"indicador","FINLANDIA","municipio","ADEJE","año",2010)</f>
        <v>12278</v>
      </c>
      <c r="G21" s="488">
        <f>GETPIVOTDATA("dato",'[1]tabla dinámica nacionalidad zon'!$A$36,"indicador","FINLANDIA","municipio","ARONA","año",2010)</f>
        <v>26594</v>
      </c>
    </row>
    <row r="22" spans="2:11">
      <c r="B22" s="487" t="s">
        <v>173</v>
      </c>
      <c r="C22" s="488">
        <f>GETPIVOTDATA("Suma de TOTAL GENERAL",'[1]tabla dinámica nacionalidad zon'!$A$3,"PAIS/INDICADOR","suiza","AÑO",2010)</f>
        <v>17208</v>
      </c>
      <c r="D22" s="488">
        <f>GETPIVOTDATA("dato",'[1]tabla dinámica nacionalidad zon'!$A$36,"indicador","SUIZA","municipio","SANTA CRUZ","año",2010)</f>
        <v>309</v>
      </c>
      <c r="E22" s="488">
        <f>GETPIVOTDATA("dato",'[1]tabla dinámica nacionalidad zon'!$A$36,"indicador","SUIZA","municipio","PUERTO DE LA CRUZ","año",2010)</f>
        <v>1491</v>
      </c>
      <c r="F22" s="488">
        <f>GETPIVOTDATA("dato",'[1]tabla dinámica nacionalidad zon'!$A$36,"indicador","SUIZA","municipio","ADEJE","año",2010)</f>
        <v>7338</v>
      </c>
      <c r="G22" s="488">
        <f>GETPIVOTDATA("dato",'[1]tabla dinámica nacionalidad zon'!$A$36,"indicador","SUIZA","municipio","ARONA","año",2010)</f>
        <v>5742</v>
      </c>
    </row>
    <row r="23" spans="2:11">
      <c r="B23" s="487" t="s">
        <v>174</v>
      </c>
      <c r="C23" s="488">
        <f>GETPIVOTDATA("Suma de TOTAL GENERAL",'[1]tabla dinámica nacionalidad zon'!$A$3,"PAIS/INDICADOR","austria","AÑO",2010)</f>
        <v>17168</v>
      </c>
      <c r="D23" s="488">
        <f>GETPIVOTDATA("dato",'[1]tabla dinámica nacionalidad zon'!$A$36,"indicador","AUSTRIA","municipio","SANTA CRUZ","año",2010)</f>
        <v>201</v>
      </c>
      <c r="E23" s="488">
        <f>GETPIVOTDATA("dato",'[1]tabla dinámica nacionalidad zon'!$A$36,"indicador","AUSTRIA","municipio","PUERTO DE LA CRUZ","año",2010)</f>
        <v>2295</v>
      </c>
      <c r="F23" s="488">
        <f>GETPIVOTDATA("dato",'[1]tabla dinámica nacionalidad zon'!$A$36,"indicador","AUSTRIA","municipio","ADEJE","año",2010)</f>
        <v>8031</v>
      </c>
      <c r="G23" s="488">
        <f>GETPIVOTDATA("dato",'[1]tabla dinámica nacionalidad zon'!$A$36,"indicador","AUSTRIA","municipio","ARONA","año",2010)</f>
        <v>4869</v>
      </c>
    </row>
    <row r="24" spans="2:11">
      <c r="B24" s="487" t="s">
        <v>175</v>
      </c>
      <c r="C24" s="488">
        <f>GETPIVOTDATA("Suma de TOTAL GENERAL",'[1]tabla dinámica nacionalidad zon'!$A$3,"PAIS/INDICADOR","rusia","AÑO",2010)</f>
        <v>44000</v>
      </c>
      <c r="D24" s="488">
        <f>GETPIVOTDATA("dato",'[1]tabla dinámica nacionalidad zon'!$A$36,"indicador","RUSIA","municipio","SANTA CRUZ","año",2010)</f>
        <v>247</v>
      </c>
      <c r="E24" s="488">
        <f>GETPIVOTDATA("dato",'[1]tabla dinámica nacionalidad zon'!$A$36,"indicador","RUSIA","municipio","PUERTO DE LA CRUZ","año",2010)</f>
        <v>825</v>
      </c>
      <c r="F24" s="488">
        <f>GETPIVOTDATA("dato",'[1]tabla dinámica nacionalidad zon'!$A$36,"indicador","RUSIA","municipio","ADEJE","año",2010)</f>
        <v>27631</v>
      </c>
      <c r="G24" s="488">
        <f>GETPIVOTDATA("dato",'[1]tabla dinámica nacionalidad zon'!$A$36,"indicador","RUSIA","municipio","ARONA","año",2010)</f>
        <v>10139</v>
      </c>
    </row>
    <row r="25" spans="2:11">
      <c r="B25" s="487" t="s">
        <v>176</v>
      </c>
      <c r="C25" s="488">
        <f>GETPIVOTDATA("Suma de TOTAL GENERAL",'[1]tabla dinámica nacionalidad zon'!$A$3,"PAIS/INDICADOR","paises del este","AÑO",2010)</f>
        <v>44447</v>
      </c>
      <c r="D25" s="488">
        <f>GETPIVOTDATA("dato",'[1]tabla dinámica nacionalidad zon'!$A$36,"indicador","PAÍSES DEL ESTE","municipio","SANTA CRUZ","año",2010)</f>
        <v>468</v>
      </c>
      <c r="E25" s="488">
        <f>GETPIVOTDATA("dato",'[1]tabla dinámica nacionalidad zon'!$A$36,"indicador","PAÍSES DEL ESTE","municipio","PUERTO DE LA CRUZ","año",2010)</f>
        <v>1245</v>
      </c>
      <c r="F25" s="488">
        <f>GETPIVOTDATA("dato",'[1]tabla dinámica nacionalidad zon'!$A$36,"indicador","PAÍSES DEL ESTE","municipio","ADEJE","año",2010)</f>
        <v>26764</v>
      </c>
      <c r="G25" s="488">
        <f>GETPIVOTDATA("dato",'[1]tabla dinámica nacionalidad zon'!$A$36,"indicador","PAÍSES DEL ESTE","municipio","ARONA","año",2010)</f>
        <v>11840</v>
      </c>
    </row>
    <row r="26" spans="2:11">
      <c r="B26" s="487" t="s">
        <v>177</v>
      </c>
      <c r="C26" s="488">
        <f>GETPIVOTDATA("Suma de TOTAL GENERAL",'[1]tabla dinámica nacionalidad zon'!$A$3,"PAIS/INDICADOR","resto de europa","AÑO",2010)</f>
        <v>48269</v>
      </c>
      <c r="D26" s="488">
        <f>GETPIVOTDATA("dato",'[1]tabla dinámica nacionalidad zon'!$A$36,"indicador","RESTO DE EUROPA","municipio","SANTA CRUZ","año",2010)</f>
        <v>984</v>
      </c>
      <c r="E26" s="488">
        <f>GETPIVOTDATA("dato",'[1]tabla dinámica nacionalidad zon'!$A$36,"indicador","RESTO DE EUROPA","municipio","PUERTO DE LA CRUZ","año",2010)</f>
        <v>4268</v>
      </c>
      <c r="F26" s="488">
        <f>GETPIVOTDATA("dato",'[1]tabla dinámica nacionalidad zon'!$A$36,"indicador","RESTO DE EUROPA","municipio","ADEJE","año",2010)</f>
        <v>23752</v>
      </c>
      <c r="G26" s="488">
        <f>GETPIVOTDATA("dato",'[1]tabla dinámica nacionalidad zon'!$A$36,"indicador","RESTO DE EUROPA","municipio","ARONA","año",2010)</f>
        <v>12587</v>
      </c>
    </row>
    <row r="27" spans="2:11">
      <c r="B27" s="487" t="s">
        <v>178</v>
      </c>
      <c r="C27" s="488">
        <f>GETPIVOTDATA("Suma de TOTAL GENERAL",'[1]tabla dinámica nacionalidad zon'!$A$3,"PAIS/INDICADOR","usa","AÑO",2010)</f>
        <v>7862</v>
      </c>
      <c r="D27" s="488">
        <f>GETPIVOTDATA("dato",'[1]tabla dinámica nacionalidad zon'!$A$36,"indicador","USA","municipio","SANTA CRUZ","año",2010)</f>
        <v>786</v>
      </c>
      <c r="E27" s="488">
        <f>GETPIVOTDATA("dato",'[1]tabla dinámica nacionalidad zon'!$A$36,"indicador","USA","municipio","PUERTO DE LA CRUZ","año",2010)</f>
        <v>1315</v>
      </c>
      <c r="F27" s="488">
        <f>GETPIVOTDATA("dato",'[1]tabla dinámica nacionalidad zon'!$A$36,"indicador","USA","municipio","ADEJE","año",2010)</f>
        <v>1920</v>
      </c>
      <c r="G27" s="488">
        <f>GETPIVOTDATA("dato",'[1]tabla dinámica nacionalidad zon'!$A$36,"indicador","USA","municipio","ARONA","año",2010)</f>
        <v>1719</v>
      </c>
    </row>
    <row r="28" spans="2:11">
      <c r="B28" s="487" t="s">
        <v>179</v>
      </c>
      <c r="C28" s="488">
        <f>GETPIVOTDATA("Suma de TOTAL GENERAL",'[1]tabla dinámica nacionalidad zon'!$A$3,"PAIS/INDICADOR","resto de america","AÑO",2010)</f>
        <v>11078</v>
      </c>
      <c r="D28" s="488">
        <f>GETPIVOTDATA("dato",'[1]tabla dinámica nacionalidad zon'!$A$36,"indicador","RESTO DE AMÉRICA","municipio","SANTA CRUZ","año",2010)</f>
        <v>2741</v>
      </c>
      <c r="E28" s="488">
        <f>GETPIVOTDATA("dato",'[1]tabla dinámica nacionalidad zon'!$A$36,"indicador","RESTO DE AMÉRICA","municipio","PUERTO DE LA CRUZ","año",2010)</f>
        <v>2693</v>
      </c>
      <c r="F28" s="488">
        <f>GETPIVOTDATA("dato",'[1]tabla dinámica nacionalidad zon'!$A$36,"indicador","RESTO DE AMÉRICA","municipio","ADEJE","año",2010)</f>
        <v>1682</v>
      </c>
      <c r="G28" s="488">
        <f>GETPIVOTDATA("dato",'[1]tabla dinámica nacionalidad zon'!$A$36,"indicador","RESTO DE AMÉRICA","municipio","ARONA","año",2010)</f>
        <v>1958</v>
      </c>
    </row>
    <row r="29" spans="2:11" ht="12.75">
      <c r="B29" s="277" t="s">
        <v>180</v>
      </c>
      <c r="C29" s="488">
        <f>GETPIVOTDATA("Suma de TOTAL GENERAL",'[1]tabla dinámica nacionalidad zon'!$A$3,"PAIS/INDICADOR","resto del mundo","AÑO",2010)</f>
        <v>35023</v>
      </c>
      <c r="D29" s="488">
        <f>GETPIVOTDATA("dato",'[1]tabla dinámica nacionalidad zon'!$A$36,"indicador","RESTO DEL MUNDO","municipio","SANTA CRUZ","año",2010)</f>
        <v>2153</v>
      </c>
      <c r="E29" s="488">
        <f>GETPIVOTDATA("dato",'[1]tabla dinámica nacionalidad zon'!$A$36,"indicador","RESTO DEL MUNDO","municipio","PUERTO DE LA CRUZ","año",2010)</f>
        <v>2749</v>
      </c>
      <c r="F29" s="488">
        <f>GETPIVOTDATA("dato",'[1]tabla dinámica nacionalidad zon'!$A$36,"indicador","RESTO DEL MUNDO","municipio","ADEJE","año",2010)</f>
        <v>6784</v>
      </c>
      <c r="G29" s="488">
        <f>GETPIVOTDATA("dato",'[1]tabla dinámica nacionalidad zon'!$A$36,"indicador","RESTO DEL MUNDO","municipio","ARONA","año",2010)</f>
        <v>7501</v>
      </c>
    </row>
    <row r="30" spans="2:11" s="491" customFormat="1" ht="12.75">
      <c r="B30" s="288" t="s">
        <v>335</v>
      </c>
      <c r="C30" s="490">
        <f>C31-C9</f>
        <v>1915446</v>
      </c>
      <c r="D30" s="490">
        <f t="shared" ref="D30:G30" si="0">D31-D9</f>
        <v>16443</v>
      </c>
      <c r="E30" s="490">
        <f t="shared" si="0"/>
        <v>157672</v>
      </c>
      <c r="F30" s="490">
        <f t="shared" si="0"/>
        <v>761165</v>
      </c>
      <c r="G30" s="490">
        <f t="shared" si="0"/>
        <v>680243</v>
      </c>
    </row>
    <row r="31" spans="2:11">
      <c r="B31" s="492" t="s">
        <v>107</v>
      </c>
      <c r="C31" s="493">
        <f>GETPIVOTDATA("Suma de TOTAL GENERAL",'[1]tabla dinámica nacionalidad zon'!$A$3,"PAIS/INDICADOR","TOTAL","AÑO",2010)</f>
        <v>2766193</v>
      </c>
      <c r="D31" s="493">
        <f>GETPIVOTDATA("dato",'[1]tabla dinámica nacionalidad zon'!$A$36,"indicador","TOTAL","municipio","SANTA CRUZ","año",2010)</f>
        <v>92816</v>
      </c>
      <c r="E31" s="493">
        <f>GETPIVOTDATA("dato",'[1]tabla dinámica nacionalidad zon'!$A$36,"indicador","TOTAL","municipio","PUERTO DE LA CRUZ","año",2010)</f>
        <v>415019</v>
      </c>
      <c r="F31" s="493">
        <f>GETPIVOTDATA("dato",'[1]tabla dinámica nacionalidad zon'!$A$36,"indicador","TOTAL","municipio","ADEJE","año",2010)</f>
        <v>978683</v>
      </c>
      <c r="G31" s="493">
        <f>GETPIVOTDATA("dato",'[1]tabla dinámica nacionalidad zon'!$A$36,"indicador","TOTAL","municipio","ARONA","año",2010)</f>
        <v>818429</v>
      </c>
      <c r="H31" s="494"/>
      <c r="I31" s="494"/>
      <c r="J31" s="494"/>
      <c r="K31" s="494"/>
    </row>
    <row r="32" spans="2:11" ht="24" customHeight="1">
      <c r="B32" s="283" t="s">
        <v>217</v>
      </c>
      <c r="C32" s="495"/>
      <c r="D32" s="495"/>
      <c r="E32" s="495"/>
      <c r="F32" s="495"/>
      <c r="G32" s="496"/>
    </row>
    <row r="33" ht="14.25" customHeight="1"/>
    <row r="34" ht="35.25" customHeight="1"/>
  </sheetData>
  <mergeCells count="3">
    <mergeCell ref="B6:G6"/>
    <mergeCell ref="B7:G7"/>
    <mergeCell ref="B32:G3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C1:G26"/>
  <sheetViews>
    <sheetView showGridLines="0" showRowColHeaders="0" zoomScaleNormal="100" workbookViewId="0">
      <selection activeCell="B25" sqref="B25"/>
    </sheetView>
  </sheetViews>
  <sheetFormatPr baseColWidth="10" defaultRowHeight="15"/>
  <cols>
    <col min="1" max="1" width="15.85546875" customWidth="1"/>
    <col min="3" max="3" width="22" customWidth="1"/>
  </cols>
  <sheetData>
    <row r="1" spans="3:7" ht="30.75" customHeight="1"/>
    <row r="2" spans="3:7" ht="33" customHeight="1"/>
    <row r="3" spans="3:7" ht="36" customHeight="1">
      <c r="C3" s="73" t="s">
        <v>71</v>
      </c>
      <c r="D3" s="74"/>
      <c r="E3" s="74"/>
      <c r="F3" s="74"/>
      <c r="G3" s="74"/>
    </row>
    <row r="4" spans="3:7">
      <c r="C4" s="86"/>
      <c r="D4" s="86" t="s">
        <v>72</v>
      </c>
      <c r="E4" s="87" t="s">
        <v>73</v>
      </c>
      <c r="F4" s="87" t="s">
        <v>74</v>
      </c>
      <c r="G4" s="87" t="s">
        <v>75</v>
      </c>
    </row>
    <row r="5" spans="3:7">
      <c r="C5" s="88" t="s">
        <v>66</v>
      </c>
      <c r="D5" s="79">
        <f>GETPIVOTDATA("dato",'[1] turistas por Temporada'!$A$5,"mes",10,"año",2006)</f>
        <v>176861</v>
      </c>
      <c r="E5" s="79">
        <f>GETPIVOTDATA("dato",'[1] turistas por Temporada'!$A$5,"mes",10,"año",2007)</f>
        <v>170847</v>
      </c>
      <c r="F5" s="79">
        <f>GETPIVOTDATA("dato",'[1] turistas por Temporada'!$A$5,"mes",10,"año",2008)</f>
        <v>160443</v>
      </c>
      <c r="G5" s="79">
        <f>GETPIVOTDATA("dato",'[1] turistas por Temporada'!$A$5,"mes",10,"año",2009)</f>
        <v>145358</v>
      </c>
    </row>
    <row r="6" spans="3:7">
      <c r="C6" s="89" t="s">
        <v>67</v>
      </c>
      <c r="D6" s="52">
        <f>GETPIVOTDATA("dato",'[1] turistas por Temporada'!$A$5,"mes",11,"año",2006)</f>
        <v>152276</v>
      </c>
      <c r="E6" s="52">
        <f>GETPIVOTDATA("dato",'[1] turistas por Temporada'!$A$5,"mes",11,"año",2007)</f>
        <v>165776</v>
      </c>
      <c r="F6" s="52">
        <f>GETPIVOTDATA("dato",'[1] turistas por Temporada'!$A$5,"mes",11,"año",2008)</f>
        <v>149092</v>
      </c>
      <c r="G6" s="52">
        <f>GETPIVOTDATA("dato",'[1] turistas por Temporada'!$A$5,"mes",11,"año",2009)</f>
        <v>130907</v>
      </c>
    </row>
    <row r="7" spans="3:7">
      <c r="C7" s="89" t="s">
        <v>68</v>
      </c>
      <c r="D7" s="52">
        <f>GETPIVOTDATA("dato",'[1] turistas por Temporada'!$A$5,"mes",12,"año",2006)</f>
        <v>159849</v>
      </c>
      <c r="E7" s="52">
        <f>GETPIVOTDATA("dato",'[1] turistas por Temporada'!$A$5,"mes",12,"año",2007)</f>
        <v>149594</v>
      </c>
      <c r="F7" s="52">
        <f>GETPIVOTDATA("dato",'[1] turistas por Temporada'!$A$5,"mes",12,"año",2008)</f>
        <v>141832</v>
      </c>
      <c r="G7" s="52">
        <f>GETPIVOTDATA("dato",'[1] turistas por Temporada'!$A$5,"mes",12,"año",2009)</f>
        <v>132073</v>
      </c>
    </row>
    <row r="8" spans="3:7">
      <c r="C8" s="89" t="s">
        <v>57</v>
      </c>
      <c r="D8" s="52">
        <f>GETPIVOTDATA("dato",'[1] turistas por Temporada'!$A$5,"mes",1,"año",2007)</f>
        <v>146244</v>
      </c>
      <c r="E8" s="52">
        <f>GETPIVOTDATA("dato",'[1] turistas por Temporada'!$A$5,"mes",1,"año",2008)</f>
        <v>147131</v>
      </c>
      <c r="F8" s="52">
        <f>GETPIVOTDATA("dato",'[1] turistas por Temporada'!$A$5,"mes",1,"año",2009)</f>
        <v>136344</v>
      </c>
      <c r="G8" s="52">
        <f>GETPIVOTDATA("dato",'[1] turistas por Temporada'!$A$5,"mes",1,"año",2010)</f>
        <v>131537</v>
      </c>
    </row>
    <row r="9" spans="3:7">
      <c r="C9" s="89" t="s">
        <v>58</v>
      </c>
      <c r="D9" s="52">
        <f>GETPIVOTDATA("dato",'[1] turistas por Temporada'!$A$5,"mes",2,"año",2007)</f>
        <v>151411</v>
      </c>
      <c r="E9" s="52">
        <f>GETPIVOTDATA("dato",'[1] turistas por Temporada'!$A$5,"mes",2,"año",2008)</f>
        <v>168254</v>
      </c>
      <c r="F9" s="52">
        <f>GETPIVOTDATA("dato",'[1] turistas por Temporada'!$A$5,"mes",2,"año",2009)</f>
        <v>133792</v>
      </c>
      <c r="G9" s="52">
        <f>GETPIVOTDATA("dato",'[1] turistas por Temporada'!$A$5,"mes",2,"año",2010)</f>
        <v>125419</v>
      </c>
    </row>
    <row r="10" spans="3:7">
      <c r="C10" s="89" t="s">
        <v>59</v>
      </c>
      <c r="D10" s="52">
        <f>GETPIVOTDATA("dato",'[1] turistas por Temporada'!$A$5,"mes",3,"año",2007)</f>
        <v>174351</v>
      </c>
      <c r="E10" s="52">
        <f>GETPIVOTDATA("dato",'[1] turistas por Temporada'!$A$5,"mes",3,"año",2008)</f>
        <v>183447</v>
      </c>
      <c r="F10" s="52">
        <f>GETPIVOTDATA("dato",'[1] turistas por Temporada'!$A$5,"mes",3,"año",2009)</f>
        <v>135071</v>
      </c>
      <c r="G10" s="52">
        <f>GETPIVOTDATA("dato",'[1] turistas por Temporada'!$A$5,"mes",3,"año",2010)</f>
        <v>140329</v>
      </c>
    </row>
    <row r="11" spans="3:7">
      <c r="C11" s="89" t="s">
        <v>45</v>
      </c>
      <c r="D11" s="52">
        <f>GETPIVOTDATA("dato",'[1] turistas por Temporada'!$A$5,"mes",4,"año",2007)</f>
        <v>160991</v>
      </c>
      <c r="E11" s="52">
        <f>GETPIVOTDATA("dato",'[1] turistas por Temporada'!$A$5,"mes",4,"año",2008)</f>
        <v>154022</v>
      </c>
      <c r="F11" s="52">
        <f>GETPIVOTDATA("dato",'[1] turistas por Temporada'!$A$5,"mes",4,"año",2009)</f>
        <v>143027</v>
      </c>
      <c r="G11" s="52">
        <f>GETPIVOTDATA("dato",'[1] turistas por Temporada'!$A$5,"mes",4,"año",2010)</f>
        <v>156611</v>
      </c>
    </row>
    <row r="12" spans="3:7">
      <c r="C12" s="90" t="s">
        <v>76</v>
      </c>
      <c r="D12" s="91">
        <f>SUM(D5:D11)</f>
        <v>1121983</v>
      </c>
      <c r="E12" s="91">
        <f>SUM(E5:E11)</f>
        <v>1139071</v>
      </c>
      <c r="F12" s="91">
        <f>SUM(F5:F11)</f>
        <v>999601</v>
      </c>
      <c r="G12" s="91">
        <f>SUM(G5:G11)</f>
        <v>962234</v>
      </c>
    </row>
    <row r="13" spans="3:7">
      <c r="C13" s="92" t="s">
        <v>21</v>
      </c>
      <c r="D13" s="93"/>
      <c r="E13" s="93">
        <f>E12/D12-1</f>
        <v>1.5230177284325963E-2</v>
      </c>
      <c r="F13" s="93">
        <f>F12/E12-1</f>
        <v>-0.12244188465863848</v>
      </c>
      <c r="G13" s="93">
        <f>G12/F12-1</f>
        <v>-3.7381915384238296E-2</v>
      </c>
    </row>
    <row r="14" spans="3:7" ht="15" customHeight="1">
      <c r="C14" s="83" t="s">
        <v>77</v>
      </c>
      <c r="D14" s="84"/>
      <c r="E14" s="84"/>
      <c r="F14" s="84"/>
      <c r="G14" s="85"/>
    </row>
    <row r="17" spans="3:7" ht="39.75" customHeight="1">
      <c r="C17" s="94" t="s">
        <v>78</v>
      </c>
      <c r="D17" s="95"/>
      <c r="E17" s="95"/>
      <c r="F17" s="95"/>
      <c r="G17" s="95"/>
    </row>
    <row r="18" spans="3:7">
      <c r="C18" s="86"/>
      <c r="D18" s="87">
        <v>2007</v>
      </c>
      <c r="E18" s="87">
        <v>2008</v>
      </c>
      <c r="F18" s="86">
        <v>2009</v>
      </c>
      <c r="G18" s="86">
        <v>2010</v>
      </c>
    </row>
    <row r="19" spans="3:7" hidden="1">
      <c r="C19" s="88" t="s">
        <v>61</v>
      </c>
      <c r="D19" s="79" t="e">
        <f>GETPIVOTDATA("TOTAL GENERAL",'[1] turistas por Temporada'!#REF!,"MES","Mayo","AÑO",2007)</f>
        <v>#REF!</v>
      </c>
      <c r="E19" s="79" t="e">
        <f>GETPIVOTDATA("TOTAL GENERAL",'[1] turistas por Temporada'!#REF!,"MES","Mayo","AÑO",2008)</f>
        <v>#REF!</v>
      </c>
      <c r="F19" s="79" t="e">
        <f>GETPIVOTDATA("TOTAL GENERAL",'[1] turistas por Temporada'!#REF!,"MES","Mayo","AÑO",2009)</f>
        <v>#REF!</v>
      </c>
      <c r="G19" s="79" t="e">
        <f>GETPIVOTDATA("TOTAL GENERAL",'[1] turistas por Temporada'!#REF!,"MES","Mayo","AÑO",2009)</f>
        <v>#REF!</v>
      </c>
    </row>
    <row r="20" spans="3:7">
      <c r="C20" s="89" t="s">
        <v>62</v>
      </c>
      <c r="D20" s="52">
        <f>GETPIVOTDATA("dato",'[1] turistas por Temporada'!$A$5,"mes",6,"año",2007)</f>
        <v>144506</v>
      </c>
      <c r="E20" s="52">
        <f>GETPIVOTDATA("dato",'[1] turistas por Temporada'!$A$5,"mes",6,"año",2008)</f>
        <v>146363</v>
      </c>
      <c r="F20" s="52">
        <f>GETPIVOTDATA("dato",'[1] turistas por Temporada'!$A$5,"mes",6,"año",2009)</f>
        <v>121387</v>
      </c>
      <c r="G20" s="52">
        <f>GETPIVOTDATA("dato",'[1] turistas por Temporada'!$A$5,"mes",6,"año",2010)</f>
        <v>128897</v>
      </c>
    </row>
    <row r="21" spans="3:7">
      <c r="C21" s="89" t="s">
        <v>63</v>
      </c>
      <c r="D21" s="52">
        <f>GETPIVOTDATA("dato",'[1] turistas por Temporada'!$A$5,"mes",7,"año",2007)</f>
        <v>160319</v>
      </c>
      <c r="E21" s="52">
        <f>GETPIVOTDATA("dato",'[1] turistas por Temporada'!$A$5,"mes",7,"año",2008)</f>
        <v>161273</v>
      </c>
      <c r="F21" s="52">
        <f>GETPIVOTDATA("dato",'[1] turistas por Temporada'!$A$5,"mes",7,"año",2009)</f>
        <v>152332</v>
      </c>
      <c r="G21" s="52">
        <f>GETPIVOTDATA("dato",'[1] turistas por Temporada'!$A$5,"mes",7,"año",2010)</f>
        <v>163371</v>
      </c>
    </row>
    <row r="22" spans="3:7">
      <c r="C22" s="89" t="s">
        <v>64</v>
      </c>
      <c r="D22" s="52">
        <f>GETPIVOTDATA("dato",'[1] turistas por Temporada'!$A$5,"mes",8,"año",2007)</f>
        <v>185642</v>
      </c>
      <c r="E22" s="52">
        <f>GETPIVOTDATA("dato",'[1] turistas por Temporada'!$A$5,"mes",8,"año",2008)</f>
        <v>187998</v>
      </c>
      <c r="F22" s="52">
        <f>GETPIVOTDATA("dato",'[1] turistas por Temporada'!$A$5,"mes",8,"año",2009)</f>
        <v>170260</v>
      </c>
      <c r="G22" s="52">
        <f>GETPIVOTDATA("dato",'[1] turistas por Temporada'!$A$5,"mes",8,"año",2010)</f>
        <v>0</v>
      </c>
    </row>
    <row r="23" spans="3:7">
      <c r="C23" s="96" t="s">
        <v>65</v>
      </c>
      <c r="D23" s="52">
        <f>GETPIVOTDATA("dato",'[1] turistas por Temporada'!$A$5,"mes",9,"año",2007)</f>
        <v>142373</v>
      </c>
      <c r="E23" s="52">
        <f>GETPIVOTDATA("dato",'[1] turistas por Temporada'!$A$5,"mes",9,"año",2008)</f>
        <v>137440</v>
      </c>
      <c r="F23" s="52">
        <f>GETPIVOTDATA("dato",'[1] turistas por Temporada'!$A$5,"mes",9,"año",2009)</f>
        <v>124595</v>
      </c>
      <c r="G23" s="52">
        <f>GETPIVOTDATA("dato",'[1] turistas por Temporada'!$A$5,"mes",9,"año",2010)</f>
        <v>0</v>
      </c>
    </row>
    <row r="24" spans="3:7">
      <c r="C24" s="90" t="s">
        <v>79</v>
      </c>
      <c r="D24" s="91">
        <f>SUM(D20:D23)</f>
        <v>632840</v>
      </c>
      <c r="E24" s="91">
        <f>SUM(E20:E23)</f>
        <v>633074</v>
      </c>
      <c r="F24" s="91">
        <f>SUM(F20:F23)</f>
        <v>568574</v>
      </c>
      <c r="G24" s="91">
        <f>SUM(G20:G23)</f>
        <v>292268</v>
      </c>
    </row>
    <row r="25" spans="3:7">
      <c r="C25" s="92" t="s">
        <v>21</v>
      </c>
      <c r="D25" s="97"/>
      <c r="E25" s="93">
        <f>E24/D24-1</f>
        <v>3.6976170912073059E-4</v>
      </c>
      <c r="F25" s="93">
        <f>F24/E24-1</f>
        <v>-0.10188382400793583</v>
      </c>
      <c r="G25" s="93"/>
    </row>
    <row r="26" spans="3:7" ht="15" customHeight="1">
      <c r="C26" s="83" t="s">
        <v>77</v>
      </c>
      <c r="D26" s="84"/>
      <c r="E26" s="84"/>
      <c r="F26" s="84"/>
      <c r="G26" s="85"/>
    </row>
  </sheetData>
  <mergeCells count="4">
    <mergeCell ref="C3:G3"/>
    <mergeCell ref="C14:G14"/>
    <mergeCell ref="C17:G17"/>
    <mergeCell ref="C26:G2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90.xml><?xml version="1.0" encoding="utf-8"?>
<worksheet xmlns="http://schemas.openxmlformats.org/spreadsheetml/2006/main" xmlns:r="http://schemas.openxmlformats.org/officeDocument/2006/relationships">
  <sheetPr codeName="Hoja145">
    <tabColor rgb="FF000099"/>
    <pageSetUpPr fitToPage="1"/>
  </sheetPr>
  <dimension ref="B5:G31"/>
  <sheetViews>
    <sheetView showGridLines="0" showRowColHeaders="0" zoomScaleNormal="100" workbookViewId="0">
      <selection activeCell="B25" sqref="B25"/>
    </sheetView>
  </sheetViews>
  <sheetFormatPr baseColWidth="10" defaultRowHeight="15"/>
  <cols>
    <col min="1" max="1" width="15.42578125" customWidth="1"/>
    <col min="2" max="2" width="17.28515625" customWidth="1"/>
    <col min="3" max="3" width="12" bestFit="1" customWidth="1"/>
    <col min="5" max="5" width="11.5703125" bestFit="1" customWidth="1"/>
    <col min="6" max="7" width="12" bestFit="1" customWidth="1"/>
  </cols>
  <sheetData>
    <row r="5" spans="2:7" ht="25.5" customHeight="1">
      <c r="B5" s="480" t="s">
        <v>336</v>
      </c>
      <c r="C5" s="259"/>
      <c r="D5" s="259"/>
      <c r="E5" s="259"/>
      <c r="F5" s="259"/>
      <c r="G5" s="260"/>
    </row>
    <row r="6" spans="2:7">
      <c r="B6" s="262" t="str">
        <f>actualizaciones!$A$2</f>
        <v xml:space="preserve">acumulado julio 2010 </v>
      </c>
      <c r="C6" s="263"/>
      <c r="D6" s="263"/>
      <c r="E6" s="263"/>
      <c r="F6" s="263"/>
      <c r="G6" s="264"/>
    </row>
    <row r="7" spans="2:7" ht="24">
      <c r="B7" s="481" t="s">
        <v>158</v>
      </c>
      <c r="C7" s="482" t="s">
        <v>93</v>
      </c>
      <c r="D7" s="483" t="s">
        <v>307</v>
      </c>
      <c r="E7" s="483" t="s">
        <v>306</v>
      </c>
      <c r="F7" s="484" t="s">
        <v>334</v>
      </c>
      <c r="G7" s="484" t="s">
        <v>305</v>
      </c>
    </row>
    <row r="8" spans="2:7">
      <c r="B8" s="485" t="s">
        <v>159</v>
      </c>
      <c r="C8" s="497">
        <f>GETPIVOTDATA("Suma de TOTAL GENERAL",'[1]tabla dinámica nacionalidad zon'!$A$3,"PAIS/INDICADOR","ESPAÑA","AÑO","2010")/GETPIVOTDATA("Suma de TOTAL GENERAL",'[1]tabla dinámica nacionalidad zon'!$A$3,"PAIS/INDICADOR","ESPAÑA","AÑO","2009")-1</f>
        <v>6.7214356859173652E-2</v>
      </c>
      <c r="D8" s="497">
        <f>GETPIVOTDATA("dato",'[1]tabla dinámica nacionalidad zon'!$A$36,"indicador","España","municipio","SANTA CRUZ","año",2010)/GETPIVOTDATA("dato",'[1]tabla dinámica nacionalidad zon'!$A$36,"indicador","España","municipio","SANTA CRUZ","año",2009)-1</f>
        <v>-4.258493167857591E-2</v>
      </c>
      <c r="E8" s="497">
        <f>GETPIVOTDATA("dato",'[1]tabla dinámica nacionalidad zon'!$A$36,"indicador","España","municipio","PUERTO DE LA CRUZ","año",2010)/GETPIVOTDATA("dato",'[1]tabla dinámica nacionalidad zon'!$A$36,"indicador","España","municipio","PUERTO DE LA CRUZ","año",2009)-1</f>
        <v>-2.6704940848990999E-2</v>
      </c>
      <c r="F8" s="497">
        <f>GETPIVOTDATA("dato",'[1]tabla dinámica nacionalidad zon'!$A$36,"indicador","España","municipio","ADEJE","año",2010)/GETPIVOTDATA("dato",'[1]tabla dinámica nacionalidad zon'!$A$36,"indicador","España","municipio","ADEJE","año",2009)-1</f>
        <v>0.12687862319779097</v>
      </c>
      <c r="G8" s="497">
        <f>GETPIVOTDATA("dato",'[1]tabla dinámica nacionalidad zon'!$A$36,"indicador","España","municipio","ARONA","año",2010)/GETPIVOTDATA("dato",'[1]tabla dinámica nacionalidad zon'!$A$36,"indicador","España","municipio","ARONA","año",2009)-1</f>
        <v>0.14330865014685812</v>
      </c>
    </row>
    <row r="9" spans="2:7">
      <c r="B9" s="487" t="s">
        <v>161</v>
      </c>
      <c r="C9" s="498">
        <f>GETPIVOTDATA("Suma de TOTAL GENERAL",'[1]tabla dinámica nacionalidad zon'!$A$3,"PAIS/INDICADOR","HOLANDA","AÑO","2010")/GETPIVOTDATA("Suma de TOTAL GENERAL",'[1]tabla dinámica nacionalidad zon'!$A$3,"PAIS/INDICADOR","HOLANDA","AÑO","2009")-1</f>
        <v>-4.3369712532990934E-2</v>
      </c>
      <c r="D9" s="498">
        <f>GETPIVOTDATA("dato",'[1]tabla dinámica nacionalidad zon'!$A$36,"indicador","HOLANDA","municipio","SANTA CRUZ","año",2010)/GETPIVOTDATA("dato",'[1]tabla dinámica nacionalidad zon'!$A$36,"indicador","HOLANDA","municipio","SANTA CRUZ","año",2009)-1</f>
        <v>0.27777777777777768</v>
      </c>
      <c r="E9" s="498">
        <f>GETPIVOTDATA("dato",'[1]tabla dinámica nacionalidad zon'!$A$36,"indicador","HOLANDA","municipio","PUERTO DE LA CRUZ","año",2010)/GETPIVOTDATA("dato",'[1]tabla dinámica nacionalidad zon'!$A$36,"indicador","HOLANDA","municipio","PUERTO DE LA CRUZ","año",2009)-1</f>
        <v>-8.8174273858921182E-2</v>
      </c>
      <c r="F9" s="498">
        <f>GETPIVOTDATA("dato",'[1]tabla dinámica nacionalidad zon'!$A$36,"indicador","HOLANDA","municipio","ADEJE","año",2010)/GETPIVOTDATA("dato",'[1]tabla dinámica nacionalidad zon'!$A$36,"indicador","HOLANDA","municipio","ADEJE","año",2009)-1</f>
        <v>-5.0775779980955615E-2</v>
      </c>
      <c r="G9" s="498">
        <f>GETPIVOTDATA("dato",'[1]tabla dinámica nacionalidad zon'!$A$36,"indicador","HOLANDA","municipio","ARONA","año",2010)/GETPIVOTDATA("dato",'[1]tabla dinámica nacionalidad zon'!$A$36,"indicador","HOLANDA","municipio","ARONA","año",2009)-1</f>
        <v>-5.9497081275258212E-2</v>
      </c>
    </row>
    <row r="10" spans="2:7">
      <c r="B10" s="487" t="s">
        <v>162</v>
      </c>
      <c r="C10" s="498">
        <f>GETPIVOTDATA("Suma de TOTAL GENERAL",'[1]tabla dinámica nacionalidad zon'!$A$3,"PAIS/INDICADOR","BELGICA","AÑO","2010")/GETPIVOTDATA("Suma de TOTAL GENERAL",'[1]tabla dinámica nacionalidad zon'!$A$3,"PAIS/INDICADOR","BELGICA","AÑO","2009")-1</f>
        <v>6.4959282082659664E-2</v>
      </c>
      <c r="D10" s="498">
        <f>GETPIVOTDATA("dato",'[1]tabla dinámica nacionalidad zon'!$A$36,"indicador","BÉLGICA","municipio","SANTA CRUZ","año",2010)/GETPIVOTDATA("dato",'[1]tabla dinámica nacionalidad zon'!$A$36,"indicador","BÉLGICA","municipio","SANTA CRUZ","año",2009)-1</f>
        <v>4.2944785276073594E-2</v>
      </c>
      <c r="E10" s="498">
        <f>GETPIVOTDATA("dato",'[1]tabla dinámica nacionalidad zon'!$A$36,"indicador","BÉLGICA","municipio","PUERTO DE LA CRUZ","año",2010)/GETPIVOTDATA("dato",'[1]tabla dinámica nacionalidad zon'!$A$36,"indicador","BÉLGICA","municipio","PUERTO DE LA CRUZ","año",2009)-1</f>
        <v>0.47340980187695525</v>
      </c>
      <c r="F10" s="498">
        <f>GETPIVOTDATA("dato",'[1]tabla dinámica nacionalidad zon'!$A$36,"indicador","BÉLGICA","municipio","ADEJE","año",2010)/GETPIVOTDATA("dato",'[1]tabla dinámica nacionalidad zon'!$A$36,"indicador","BÉLGICA","municipio","ADEJE","año",2009)-1</f>
        <v>0.10039500619900243</v>
      </c>
      <c r="G10" s="498">
        <f>GETPIVOTDATA("dato",'[1]tabla dinámica nacionalidad zon'!$A$36,"indicador","BÉLGICA","municipio","ARONA","año",2010)/GETPIVOTDATA("dato",'[1]tabla dinámica nacionalidad zon'!$A$36,"indicador","BÉLGICA","municipio","ARONA","año",2009)-1</f>
        <v>3.662650602409645E-2</v>
      </c>
    </row>
    <row r="11" spans="2:7">
      <c r="B11" s="487" t="s">
        <v>163</v>
      </c>
      <c r="C11" s="498">
        <f>GETPIVOTDATA("Suma de TOTAL GENERAL",'[1]tabla dinámica nacionalidad zon'!$A$3,"PAIS/INDICADOR","ALEMANIA","AÑO","2010")/GETPIVOTDATA("Suma de TOTAL GENERAL",'[1]tabla dinámica nacionalidad zon'!$A$3,"PAIS/INDICADOR","ALEMANIA","AÑO","2009")-1</f>
        <v>-1.4311761701247261E-2</v>
      </c>
      <c r="D11" s="498">
        <f>GETPIVOTDATA("dato",'[1]tabla dinámica nacionalidad zon'!$A$36,"indicador","ALEMANIA","municipio","SANTA CRUZ","año",2010)/GETPIVOTDATA("dato",'[1]tabla dinámica nacionalidad zon'!$A$36,"indicador","ALEMANIA","municipio","SANTA CRUZ","año",2009)-1</f>
        <v>4.5576407506702443E-2</v>
      </c>
      <c r="E11" s="498">
        <f>GETPIVOTDATA("dato",'[1]tabla dinámica nacionalidad zon'!$A$36,"indicador","ALEMANIA","municipio","PUERTO DE LA CRUZ","año",2010)/GETPIVOTDATA("dato",'[1]tabla dinámica nacionalidad zon'!$A$36,"indicador","ALEMANIA","municipio","PUERTO DE LA CRUZ","año",2009)-1</f>
        <v>-0.12637019564312479</v>
      </c>
      <c r="F11" s="498">
        <f>GETPIVOTDATA("dato",'[1]tabla dinámica nacionalidad zon'!$A$36,"indicador","ALEMANIA","municipio","ADEJE","año",2010)/GETPIVOTDATA("dato",'[1]tabla dinámica nacionalidad zon'!$A$36,"indicador","ALEMANIA","municipio","ADEJE","año",2009)-1</f>
        <v>5.5322675762260687E-2</v>
      </c>
      <c r="G11" s="498">
        <f>GETPIVOTDATA("dato",'[1]tabla dinámica nacionalidad zon'!$A$36,"indicador","ALEMANIA","municipio","ARONA","año",2010)/GETPIVOTDATA("dato",'[1]tabla dinámica nacionalidad zon'!$A$36,"indicador","ALEMANIA","municipio","ARONA","año",2009)-1</f>
        <v>1.9413935129569238E-2</v>
      </c>
    </row>
    <row r="12" spans="2:7">
      <c r="B12" s="487" t="s">
        <v>164</v>
      </c>
      <c r="C12" s="498">
        <f>GETPIVOTDATA("Suma de TOTAL GENERAL",'[1]tabla dinámica nacionalidad zon'!$A$3,"PAIS/INDICADOR","FRANCIA","AÑO","2010")/GETPIVOTDATA("Suma de TOTAL GENERAL",'[1]tabla dinámica nacionalidad zon'!$A$3,"PAIS/INDICADOR","FRANCIA","AÑO","2009")-1</f>
        <v>7.5263838551562268E-2</v>
      </c>
      <c r="D12" s="498">
        <f>GETPIVOTDATA("dato",'[1]tabla dinámica nacionalidad zon'!$A$36,"indicador","FRANCIA","municipio","SANTA CRUZ","año",2010)/GETPIVOTDATA("dato",'[1]tabla dinámica nacionalidad zon'!$A$36,"indicador","FRANCIA","municipio","SANTA CRUZ","año",2009)-1</f>
        <v>-0.10540013012361749</v>
      </c>
      <c r="E12" s="498">
        <f>GETPIVOTDATA("dato",'[1]tabla dinámica nacionalidad zon'!$A$36,"indicador","FRANCIA","municipio","PUERTO DE LA CRUZ","año",2010)/GETPIVOTDATA("dato",'[1]tabla dinámica nacionalidad zon'!$A$36,"indicador","FRANCIA","municipio","PUERTO DE LA CRUZ","año",2009)-1</f>
        <v>0.24780763790664784</v>
      </c>
      <c r="F12" s="498">
        <f>GETPIVOTDATA("dato",'[1]tabla dinámica nacionalidad zon'!$A$36,"indicador","FRANCIA","municipio","ADEJE","año",2010)/GETPIVOTDATA("dato",'[1]tabla dinámica nacionalidad zon'!$A$36,"indicador","FRANCIA","municipio","ADEJE","año",2009)-1</f>
        <v>-1.9365770999757448E-3</v>
      </c>
      <c r="G12" s="498">
        <f>GETPIVOTDATA("dato",'[1]tabla dinámica nacionalidad zon'!$A$36,"indicador","FRANCIA","municipio","ARONA","año",2010)/GETPIVOTDATA("dato",'[1]tabla dinámica nacionalidad zon'!$A$36,"indicador","FRANCIA","municipio","ARONA","año",2009)-1</f>
        <v>0.34590768767412094</v>
      </c>
    </row>
    <row r="13" spans="2:7">
      <c r="B13" s="487" t="s">
        <v>165</v>
      </c>
      <c r="C13" s="498">
        <f>GETPIVOTDATA("Suma de TOTAL GENERAL",'[1]tabla dinámica nacionalidad zon'!$A$3,"PAIS/INDICADOR","REINO UNIDO","AÑO","2010")/GETPIVOTDATA("Suma de TOTAL GENERAL",'[1]tabla dinámica nacionalidad zon'!$A$3,"PAIS/INDICADOR","REINO UNIDO","AÑO","2009")-1</f>
        <v>2.9254703041898589E-2</v>
      </c>
      <c r="D13" s="498">
        <f>GETPIVOTDATA("dato",'[1]tabla dinámica nacionalidad zon'!$A$36,"indicador","REINO UNIDO","municipio","SANTA CRUZ","año",2010)/GETPIVOTDATA("dato",'[1]tabla dinámica nacionalidad zon'!$A$36,"indicador","REINO UNIDO","municipio","SANTA CRUZ","año",2009)-1</f>
        <v>6.6379840196681084E-2</v>
      </c>
      <c r="E13" s="498">
        <f>GETPIVOTDATA("dato",'[1]tabla dinámica nacionalidad zon'!$A$36,"indicador","REINO UNIDO","municipio","PUERTO DE LA CRUZ","año",2010)/GETPIVOTDATA("dato",'[1]tabla dinámica nacionalidad zon'!$A$36,"indicador","REINO UNIDO","municipio","PUERTO DE LA CRUZ","año",2009)-1</f>
        <v>-6.2581437772234794E-2</v>
      </c>
      <c r="F13" s="498">
        <f>GETPIVOTDATA("dato",'[1]tabla dinámica nacionalidad zon'!$A$36,"indicador","REINO UNIDO","municipio","ADEJE","año",2010)/GETPIVOTDATA("dato",'[1]tabla dinámica nacionalidad zon'!$A$36,"indicador","REINO UNIDO","municipio","ADEJE","año",2009)-1</f>
        <v>2.8594835848561262E-2</v>
      </c>
      <c r="G13" s="498">
        <f>GETPIVOTDATA("dato",'[1]tabla dinámica nacionalidad zon'!$A$36,"indicador","REINO UNIDO","municipio","ARONA","año",2010)/GETPIVOTDATA("dato",'[1]tabla dinámica nacionalidad zon'!$A$36,"indicador","REINO UNIDO","municipio","ARONA","año",2009)-1</f>
        <v>9.6944294611618353E-3</v>
      </c>
    </row>
    <row r="14" spans="2:7">
      <c r="B14" s="487" t="s">
        <v>166</v>
      </c>
      <c r="C14" s="498">
        <f>GETPIVOTDATA("Suma de TOTAL GENERAL",'[1]tabla dinámica nacionalidad zon'!$A$3,"PAIS/INDICADOR","IRLANDA","AÑO","2010")/GETPIVOTDATA("Suma de TOTAL GENERAL",'[1]tabla dinámica nacionalidad zon'!$A$3,"PAIS/INDICADOR","IRLANDA","AÑO","2009")-1</f>
        <v>-0.1495624190573368</v>
      </c>
      <c r="D14" s="498">
        <f>GETPIVOTDATA("dato",'[1]tabla dinámica nacionalidad zon'!$A$36,"indicador","IRLANDA","municipio","SANTA CRUZ","año",2010)/GETPIVOTDATA("dato",'[1]tabla dinámica nacionalidad zon'!$A$36,"indicador","IRLANDA","municipio","SANTA CRUZ","año",2009)-1</f>
        <v>4.2194092827003704E-3</v>
      </c>
      <c r="E14" s="498">
        <f>GETPIVOTDATA("dato",'[1]tabla dinámica nacionalidad zon'!$A$36,"indicador","IRLANDA","municipio","PUERTO DE LA CRUZ","año",2010)/GETPIVOTDATA("dato",'[1]tabla dinámica nacionalidad zon'!$A$36,"indicador","IRLANDA","municipio","PUERTO DE LA CRUZ","año",2009)-1</f>
        <v>6.3965884861407751E-3</v>
      </c>
      <c r="F14" s="498">
        <f>GETPIVOTDATA("dato",'[1]tabla dinámica nacionalidad zon'!$A$36,"indicador","IRLANDA","municipio","ADEJE","año",2010)/GETPIVOTDATA("dato",'[1]tabla dinámica nacionalidad zon'!$A$36,"indicador","IRLANDA","municipio","ADEJE","año",2009)-1</f>
        <v>-0.27833579063767044</v>
      </c>
      <c r="G14" s="498">
        <f>GETPIVOTDATA("dato",'[1]tabla dinámica nacionalidad zon'!$A$36,"indicador","IRLANDA","municipio","ARONA","año",2010)/GETPIVOTDATA("dato",'[1]tabla dinámica nacionalidad zon'!$A$36,"indicador","IRLANDA","municipio","ARONA","año",2009)-1</f>
        <v>-2.9471926528908399E-2</v>
      </c>
    </row>
    <row r="15" spans="2:7">
      <c r="B15" s="487" t="s">
        <v>167</v>
      </c>
      <c r="C15" s="498">
        <f>GETPIVOTDATA("Suma de TOTAL GENERAL",'[1]tabla dinámica nacionalidad zon'!$A$3,"PAIS/INDICADOR","ITALIA","AÑO","2010")/GETPIVOTDATA("Suma de TOTAL GENERAL",'[1]tabla dinámica nacionalidad zon'!$A$3,"PAIS/INDICADOR","ITALIA","AÑO","2009")-1</f>
        <v>4.7775047775047819E-2</v>
      </c>
      <c r="D15" s="498">
        <f>GETPIVOTDATA("dato",'[1]tabla dinámica nacionalidad zon'!$A$36,"indicador","ITALIA","municipio","SANTA CRUZ","año",2010)/GETPIVOTDATA("dato",'[1]tabla dinámica nacionalidad zon'!$A$36,"indicador","ITALIA","municipio","SANTA CRUZ","año",2009)-1</f>
        <v>-2.9889538661468484E-2</v>
      </c>
      <c r="E15" s="498">
        <f>GETPIVOTDATA("dato",'[1]tabla dinámica nacionalidad zon'!$A$36,"indicador","ITALIA","municipio","PUERTO DE LA CRUZ","año",2010)/GETPIVOTDATA("dato",'[1]tabla dinámica nacionalidad zon'!$A$36,"indicador","ITALIA","municipio","PUERTO DE LA CRUZ","año",2009)-1</f>
        <v>1.6992981159955622E-2</v>
      </c>
      <c r="F15" s="498">
        <f>GETPIVOTDATA("dato",'[1]tabla dinámica nacionalidad zon'!$A$36,"indicador","ITALIA","municipio","ADEJE","año",2010)/GETPIVOTDATA("dato",'[1]tabla dinámica nacionalidad zon'!$A$36,"indicador","ITALIA","municipio","ADEJE","año",2009)-1</f>
        <v>5.0197856920545902E-2</v>
      </c>
      <c r="G15" s="498">
        <f>GETPIVOTDATA("dato",'[1]tabla dinámica nacionalidad zon'!$A$36,"indicador","ITALIA","municipio","ARONA","año",2010)/GETPIVOTDATA("dato",'[1]tabla dinámica nacionalidad zon'!$A$36,"indicador","ITALIA","municipio","ARONA","año",2009)-1</f>
        <v>5.2959309494451379E-2</v>
      </c>
    </row>
    <row r="16" spans="2:7">
      <c r="B16" s="487" t="s">
        <v>168</v>
      </c>
      <c r="C16" s="498">
        <f>(GETPIVOTDATA("Suma de TOTAL GENERAL",'[1]tabla dinámica nacionalidad zon'!$A$3,"PAIS/INDICADOR","SUECIA","AÑO","2010")+GETPIVOTDATA("Suma de TOTAL GENERAL",'[1]tabla dinámica nacionalidad zon'!$A$3,"PAIS/INDICADOR","NORUEGA","AÑO","2010")+GETPIVOTDATA("Suma de TOTAL GENERAL",'[1]tabla dinámica nacionalidad zon'!$A$3,"PAIS/INDICADOR","DINAMARCA","AÑO","2010")+GETPIVOTDATA("Suma de TOTAL GENERAL",'[1]tabla dinámica nacionalidad zon'!$A$3,"PAIS/INDICADOR","FINLANDIA","AÑO","2010"))/(GETPIVOTDATA("Suma de TOTAL GENERAL",'[1]tabla dinámica nacionalidad zon'!$A$3,"PAIS/INDICADOR","SUECIA","AÑO","2009")+GETPIVOTDATA("Suma de TOTAL GENERAL",'[1]tabla dinámica nacionalidad zon'!$A$3,"PAIS/INDICADOR","NORUEGA","AÑO","2009")+GETPIVOTDATA("Suma de TOTAL GENERAL",'[1]tabla dinámica nacionalidad zon'!$A$3,"PAIS/INDICADOR","DINAMARCA","AÑO","2009")+GETPIVOTDATA("Suma de TOTAL GENERAL",'[1]tabla dinámica nacionalidad zon'!$A$3,"PAIS/INDICADOR","FINLANDIA","AÑO","2009"))-1</f>
        <v>-0.18769302067624194</v>
      </c>
      <c r="D16" s="498">
        <f>(GETPIVOTDATA("dato",'[1]tabla dinámica nacionalidad zon'!$A$36,"indicador","SUECIA","municipio","SANTA CRUZ","año",2010)+GETPIVOTDATA("dato",'[1]tabla dinámica nacionalidad zon'!$A$36,"indicador","NORUEGA","municipio","SANTA CRUZ","año",2010)+GETPIVOTDATA("dato",'[1]tabla dinámica nacionalidad zon'!$A$36,"indicador","DINAMARCA","municipio","SANTA CRUZ","año",2010)+GETPIVOTDATA("dato",'[1]tabla dinámica nacionalidad zon'!$A$36,"indicador","FINLANDIA","municipio","SANTA CRUZ","año",2010))/(GETPIVOTDATA("dato",'[1]tabla dinámica nacionalidad zon'!$A$36,"indicador","SUECIA","municipio","SANTA CRUZ","año",2009)+GETPIVOTDATA("dato",'[1]tabla dinámica nacionalidad zon'!$A$36,"indicador","NORUEGA","municipio","SANTA CRUZ","año",2009)+GETPIVOTDATA("dato",'[1]tabla dinámica nacionalidad zon'!$A$36,"indicador","DINAMARCA","municipio","SANTA CRUZ","año",2009)+GETPIVOTDATA("dato",'[1]tabla dinámica nacionalidad zon'!$A$36,"indicador","FINLANDIA","municipio","SANTA CRUZ","año",2009))-1</f>
        <v>-0.108843537414966</v>
      </c>
      <c r="E16" s="498">
        <f>(GETPIVOTDATA("dato",'[1]tabla dinámica nacionalidad zon'!$A$36,"indicador","SUECIA","municipio","PUERTO DE LA CRUZ","año",2010)+GETPIVOTDATA("dato",'[1]tabla dinámica nacionalidad zon'!$A$36,"indicador","NORUEGA","municipio","PUERTO DE LA CRUZ","año",2010)+GETPIVOTDATA("dato",'[1]tabla dinámica nacionalidad zon'!$A$36,"indicador","DINAMARCA","municipio","PUERTO DE LA CRUZ","año",2010)+GETPIVOTDATA("dato",'[1]tabla dinámica nacionalidad zon'!$A$36,"indicador","FINLANDIA","municipio","PUERTO DE LA CRUZ","año",2010))/(GETPIVOTDATA("dato",'[1]tabla dinámica nacionalidad zon'!$A$36,"indicador","SUECIA","municipio","PUERTO DE LA CRUZ","año",2009)+GETPIVOTDATA("dato",'[1]tabla dinámica nacionalidad zon'!$A$36,"indicador","NORUEGA","municipio","PUERTO DE LA CRUZ","año",2009)+GETPIVOTDATA("dato",'[1]tabla dinámica nacionalidad zon'!$A$36,"indicador","DINAMARCA","municipio","PUERTO DE LA CRUZ","año",2009)+GETPIVOTDATA("dato",'[1]tabla dinámica nacionalidad zon'!$A$36,"indicador","FINLANDIA","municipio","PUERTO DE LA CRUZ","año",2009))-1</f>
        <v>-0.27798026491243666</v>
      </c>
      <c r="F16" s="498">
        <f>(GETPIVOTDATA("dato",'[1]tabla dinámica nacionalidad zon'!$A$36,"indicador","SUECIA","municipio","ADEJE","año",2010)+GETPIVOTDATA("dato",'[1]tabla dinámica nacionalidad zon'!$A$36,"indicador","NORUEGA","municipio","ADEJE","año",2010)+GETPIVOTDATA("dato",'[1]tabla dinámica nacionalidad zon'!$A$36,"indicador","DINAMARCA","municipio","ADEJE","año",2010)+GETPIVOTDATA("dato",'[1]tabla dinámica nacionalidad zon'!$A$36,"indicador","FINLANDIA","municipio","ADEJE","año",2010))/(GETPIVOTDATA("dato",'[1]tabla dinámica nacionalidad zon'!$A$36,"indicador","SUECIA","municipio","ADEJE","año",2009)+GETPIVOTDATA("dato",'[1]tabla dinámica nacionalidad zon'!$A$36,"indicador","NORUEGA","municipio","ADEJE","año",2009)+GETPIVOTDATA("dato",'[1]tabla dinámica nacionalidad zon'!$A$36,"indicador","DINAMARCA","municipio","ADEJE","año",2009)+GETPIVOTDATA("dato",'[1]tabla dinámica nacionalidad zon'!$A$36,"indicador","FINLANDIA","municipio","ADEJE","año",2009))-1</f>
        <v>-0.14451217050821463</v>
      </c>
      <c r="G16" s="498">
        <f>(GETPIVOTDATA("dato",'[1]tabla dinámica nacionalidad zon'!$A$36,"indicador","SUECIA","municipio","ARONA","año",2010)+GETPIVOTDATA("dato",'[1]tabla dinámica nacionalidad zon'!$A$36,"indicador","NORUEGA","municipio","ARONA","año",2010)+GETPIVOTDATA("dato",'[1]tabla dinámica nacionalidad zon'!$A$36,"indicador","DINAMARCA","municipio","ARONA","año",2010)+GETPIVOTDATA("dato",'[1]tabla dinámica nacionalidad zon'!$A$36,"indicador","FINLANDIA","municipio","ARONA","año",2010))/(GETPIVOTDATA("dato",'[1]tabla dinámica nacionalidad zon'!$A$36,"indicador","SUECIA","municipio","ARONA","año",2009)+GETPIVOTDATA("dato",'[1]tabla dinámica nacionalidad zon'!$A$36,"indicador","NORUEGA","municipio","ARONA","año",2009)+GETPIVOTDATA("dato",'[1]tabla dinámica nacionalidad zon'!$A$36,"indicador","DINAMARCA","municipio","ARONA","año",2009)+GETPIVOTDATA("dato",'[1]tabla dinámica nacionalidad zon'!$A$36,"indicador","FINLANDIA","municipio","ARONA","año",2009))-1</f>
        <v>-0.1275255130382339</v>
      </c>
    </row>
    <row r="17" spans="2:7">
      <c r="B17" s="489" t="s">
        <v>169</v>
      </c>
      <c r="C17" s="498">
        <f>GETPIVOTDATA("Suma de TOTAL GENERAL",'[1]tabla dinámica nacionalidad zon'!$A$3,"PAIS/INDICADOR","SUECIA","AÑO","2010")/GETPIVOTDATA("Suma de TOTAL GENERAL",'[1]tabla dinámica nacionalidad zon'!$A$3,"PAIS/INDICADOR","SUECIA","AÑO","2009")-1</f>
        <v>-0.1768214156216007</v>
      </c>
      <c r="D17" s="498">
        <f>GETPIVOTDATA("dato",'[1]tabla dinámica nacionalidad zon'!$A$36,"indicador","SUECIA","municipio","SANTA CRUZ","año",2010)/GETPIVOTDATA("dato",'[1]tabla dinámica nacionalidad zon'!$A$36,"indicador","SUECIA","municipio","SANTA CRUZ","año",2009)-1</f>
        <v>7.1729957805907185E-2</v>
      </c>
      <c r="E17" s="498">
        <f>GETPIVOTDATA("dato",'[1]tabla dinámica nacionalidad zon'!$A$36,"indicador","SUECIA","municipio","PUERTO DE LA CRUZ","año",2010)/GETPIVOTDATA("dato",'[1]tabla dinámica nacionalidad zon'!$A$36,"indicador","SUECIA","municipio","PUERTO DE LA CRUZ","año",2009)-1</f>
        <v>-0.19967934703396006</v>
      </c>
      <c r="F17" s="498">
        <f>GETPIVOTDATA("dato",'[1]tabla dinámica nacionalidad zon'!$A$36,"indicador","SUECIA","municipio","ADEJE","año",2010)/GETPIVOTDATA("dato",'[1]tabla dinámica nacionalidad zon'!$A$36,"indicador","SUECIA","municipio","ADEJE","año",2009)-1</f>
        <v>-0.12802935602242027</v>
      </c>
      <c r="G17" s="498">
        <f>GETPIVOTDATA("dato",'[1]tabla dinámica nacionalidad zon'!$A$36,"indicador","SUECIA","municipio","ARONA","año",2010)/GETPIVOTDATA("dato",'[1]tabla dinámica nacionalidad zon'!$A$36,"indicador","SUECIA","municipio","ARONA","año",2009)-1</f>
        <v>-0.16801848178188483</v>
      </c>
    </row>
    <row r="18" spans="2:7">
      <c r="B18" s="489" t="s">
        <v>170</v>
      </c>
      <c r="C18" s="498">
        <f>GETPIVOTDATA("Suma de TOTAL GENERAL",'[1]tabla dinámica nacionalidad zon'!$A$3,"PAIS/INDICADOR","NORUEGA","AÑO","2010")/GETPIVOTDATA("Suma de TOTAL GENERAL",'[1]tabla dinámica nacionalidad zon'!$A$3,"PAIS/INDICADOR","NORUEGA","AÑO","2009")-1</f>
        <v>-7.5728356661482588E-2</v>
      </c>
      <c r="D18" s="498">
        <f>GETPIVOTDATA("dato",'[1]tabla dinámica nacionalidad zon'!$A$36,"indicador","NORUEGA","municipio","SANTA CRUZ","año",2010)/GETPIVOTDATA("dato",'[1]tabla dinámica nacionalidad zon'!$A$36,"indicador","NORUEGA","municipio","SANTA CRUZ","año",2009)-1</f>
        <v>-0.27542372881355937</v>
      </c>
      <c r="E18" s="498">
        <f>GETPIVOTDATA("dato",'[1]tabla dinámica nacionalidad zon'!$A$36,"indicador","NORUEGA","municipio","PUERTO DE LA CRUZ","año",2010)/GETPIVOTDATA("dato",'[1]tabla dinámica nacionalidad zon'!$A$36,"indicador","NORUEGA","municipio","PUERTO DE LA CRUZ","año",2009)-1</f>
        <v>-0.2704345183834701</v>
      </c>
      <c r="F18" s="498">
        <f>GETPIVOTDATA("dato",'[1]tabla dinámica nacionalidad zon'!$A$36,"indicador","NORUEGA","municipio","ADEJE","año",2010)/GETPIVOTDATA("dato",'[1]tabla dinámica nacionalidad zon'!$A$36,"indicador","NORUEGA","municipio","ADEJE","año",2009)-1</f>
        <v>-0.13157317340744534</v>
      </c>
      <c r="G18" s="498">
        <f>GETPIVOTDATA("dato",'[1]tabla dinámica nacionalidad zon'!$A$36,"indicador","NORUEGA","municipio","ARONA","año",2010)/GETPIVOTDATA("dato",'[1]tabla dinámica nacionalidad zon'!$A$36,"indicador","NORUEGA","municipio","ARONA","año",2009)-1</f>
        <v>3.5744902903574571E-2</v>
      </c>
    </row>
    <row r="19" spans="2:7">
      <c r="B19" s="489" t="s">
        <v>171</v>
      </c>
      <c r="C19" s="498">
        <f>GETPIVOTDATA("Suma de TOTAL GENERAL",'[1]tabla dinámica nacionalidad zon'!$A$3,"PAIS/INDICADOR","DINAMARCA","AÑO","2010")/GETPIVOTDATA("Suma de TOTAL GENERAL",'[1]tabla dinámica nacionalidad zon'!$A$3,"PAIS/INDICADOR","DINAMARCA","AÑO","2009")-1</f>
        <v>-0.24619172424747837</v>
      </c>
      <c r="D19" s="498">
        <f>GETPIVOTDATA("dato",'[1]tabla dinámica nacionalidad zon'!$A$36,"indicador","DINAMARCA","municipio","SANTA CRUZ","año",2010)/GETPIVOTDATA("dato",'[1]tabla dinámica nacionalidad zon'!$A$36,"indicador","DINAMARCA","municipio","SANTA CRUZ","año",2009)-1</f>
        <v>-0.12184873949579833</v>
      </c>
      <c r="E19" s="498">
        <f>GETPIVOTDATA("dato",'[1]tabla dinámica nacionalidad zon'!$A$36,"indicador","DINAMARCA","municipio","PUERTO DE LA CRUZ","año",2010)/GETPIVOTDATA("dato",'[1]tabla dinámica nacionalidad zon'!$A$36,"indicador","DINAMARCA","municipio","PUERTO DE LA CRUZ","año",2009)-1</f>
        <v>-0.1110817244115313</v>
      </c>
      <c r="F19" s="498">
        <f>GETPIVOTDATA("dato",'[1]tabla dinámica nacionalidad zon'!$A$36,"indicador","DINAMARCA","municipio","ADEJE","año",2010)/GETPIVOTDATA("dato",'[1]tabla dinámica nacionalidad zon'!$A$36,"indicador","DINAMARCA","municipio","ADEJE","año",2009)-1</f>
        <v>-0.24872346710554083</v>
      </c>
      <c r="G19" s="498">
        <f>GETPIVOTDATA("dato",'[1]tabla dinámica nacionalidad zon'!$A$36,"indicador","DINAMARCA","municipio","ARONA","año",2010)/GETPIVOTDATA("dato",'[1]tabla dinámica nacionalidad zon'!$A$36,"indicador","DINAMARCA","municipio","ARONA","año",2009)-1</f>
        <v>-0.21507558790593506</v>
      </c>
    </row>
    <row r="20" spans="2:7">
      <c r="B20" s="489" t="s">
        <v>172</v>
      </c>
      <c r="C20" s="498">
        <f>GETPIVOTDATA("Suma de TOTAL GENERAL",'[1]tabla dinámica nacionalidad zon'!$A$3,"PAIS/INDICADOR","FINLANDIA","AÑO","2010")/GETPIVOTDATA("Suma de TOTAL GENERAL",'[1]tabla dinámica nacionalidad zon'!$A$3,"PAIS/INDICADOR","FINLANDIA","AÑO","2009")-1</f>
        <v>-0.2235677625190734</v>
      </c>
      <c r="D20" s="498">
        <f>GETPIVOTDATA("dato",'[1]tabla dinámica nacionalidad zon'!$A$36,"indicador","FINLANDIA","municipio","SANTA CRUZ","año",2010)/GETPIVOTDATA("dato",'[1]tabla dinámica nacionalidad zon'!$A$36,"indicador","FINLANDIA","municipio","SANTA CRUZ","año",2009)-1</f>
        <v>-0.11006289308176098</v>
      </c>
      <c r="E20" s="498">
        <f>GETPIVOTDATA("dato",'[1]tabla dinámica nacionalidad zon'!$A$36,"indicador","FINLANDIA","municipio","PUERTO DE LA CRUZ","año",2010)/GETPIVOTDATA("dato",'[1]tabla dinámica nacionalidad zon'!$A$36,"indicador","FINLANDIA","municipio","PUERTO DE LA CRUZ","año",2009)-1</f>
        <v>-0.33819521550418896</v>
      </c>
      <c r="F20" s="498">
        <f>GETPIVOTDATA("dato",'[1]tabla dinámica nacionalidad zon'!$A$36,"indicador","FINLANDIA","municipio","ADEJE","año",2010)/GETPIVOTDATA("dato",'[1]tabla dinámica nacionalidad zon'!$A$36,"indicador","FINLANDIA","municipio","ADEJE","año",2009)-1</f>
        <v>1.0534979423868274E-2</v>
      </c>
      <c r="G20" s="498">
        <f>GETPIVOTDATA("dato",'[1]tabla dinámica nacionalidad zon'!$A$36,"indicador","FINLANDIA","municipio","ARONA","año",2010)/GETPIVOTDATA("dato",'[1]tabla dinámica nacionalidad zon'!$A$36,"indicador","FINLANDIA","municipio","ARONA","año",2009)-1</f>
        <v>-0.13616578964464365</v>
      </c>
    </row>
    <row r="21" spans="2:7">
      <c r="B21" s="487" t="s">
        <v>173</v>
      </c>
      <c r="C21" s="498">
        <f>GETPIVOTDATA("Suma de TOTAL GENERAL",'[1]tabla dinámica nacionalidad zon'!$A$3,"PAIS/INDICADOR","SUIZA","AÑO","2010")/GETPIVOTDATA("Suma de TOTAL GENERAL",'[1]tabla dinámica nacionalidad zon'!$A$3,"PAIS/INDICADOR","SUIZA","AÑO","2009")-1</f>
        <v>-2.7137042062415184E-2</v>
      </c>
      <c r="D21" s="498">
        <f>GETPIVOTDATA("dato",'[1]tabla dinámica nacionalidad zon'!$A$36,"indicador","SUIZA","municipio","SANTA CRUZ","año",2010)/GETPIVOTDATA("dato",'[1]tabla dinámica nacionalidad zon'!$A$36,"indicador","SUIZA","municipio","SANTA CRUZ","año",2009)-1</f>
        <v>-4.3343653250773939E-2</v>
      </c>
      <c r="E21" s="498">
        <f>GETPIVOTDATA("dato",'[1]tabla dinámica nacionalidad zon'!$A$36,"indicador","SUIZA","municipio","PUERTO DE LA CRUZ","año",2010)/GETPIVOTDATA("dato",'[1]tabla dinámica nacionalidad zon'!$A$36,"indicador","SUIZA","municipio","PUERTO DE LA CRUZ","año",2009)-1</f>
        <v>-2.7397260273972601E-2</v>
      </c>
      <c r="F21" s="498">
        <f>GETPIVOTDATA("dato",'[1]tabla dinámica nacionalidad zon'!$A$36,"indicador","SUIZA","municipio","ADEJE","año",2010)/GETPIVOTDATA("dato",'[1]tabla dinámica nacionalidad zon'!$A$36,"indicador","SUIZA","municipio","ADEJE","año",2009)-1</f>
        <v>-6.9021518473406651E-3</v>
      </c>
      <c r="G21" s="498">
        <f>GETPIVOTDATA("dato",'[1]tabla dinámica nacionalidad zon'!$A$36,"indicador","SUIZA","municipio","ARONA","año",2010)/GETPIVOTDATA("dato",'[1]tabla dinámica nacionalidad zon'!$A$36,"indicador","SUIZA","municipio","ARONA","año",2009)-1</f>
        <v>-1.7453798767967155E-2</v>
      </c>
    </row>
    <row r="22" spans="2:7">
      <c r="B22" s="487" t="s">
        <v>174</v>
      </c>
      <c r="C22" s="498">
        <f>GETPIVOTDATA("Suma de TOTAL GENERAL",'[1]tabla dinámica nacionalidad zon'!$A$3,"PAIS/INDICADOR","AUSTRIA","AÑO","2010")/GETPIVOTDATA("Suma de TOTAL GENERAL",'[1]tabla dinámica nacionalidad zon'!$A$3,"PAIS/INDICADOR","AUSTRIA","AÑO","2009")-1</f>
        <v>4.9068133211121356E-2</v>
      </c>
      <c r="D22" s="498">
        <f>GETPIVOTDATA("dato",'[1]tabla dinámica nacionalidad zon'!$A$36,"indicador","AUSTRIA","municipio","SANTA CRUZ","año",2010)/GETPIVOTDATA("dato",'[1]tabla dinámica nacionalidad zon'!$A$36,"indicador","AUSTRIA","municipio","SANTA CRUZ","año",2009)-1</f>
        <v>1.5151515151515138E-2</v>
      </c>
      <c r="E22" s="498">
        <f>GETPIVOTDATA("dato",'[1]tabla dinámica nacionalidad zon'!$A$36,"indicador","AUSTRIA","municipio","PUERTO DE LA CRUZ","año",2010)/GETPIVOTDATA("dato",'[1]tabla dinámica nacionalidad zon'!$A$36,"indicador","AUSTRIA","municipio","PUERTO DE LA CRUZ","año",2009)-1</f>
        <v>-0.15313653136531369</v>
      </c>
      <c r="F22" s="498">
        <f>GETPIVOTDATA("dato",'[1]tabla dinámica nacionalidad zon'!$A$36,"indicador","AUSTRIA","municipio","ADEJE","año",2010)/GETPIVOTDATA("dato",'[1]tabla dinámica nacionalidad zon'!$A$36,"indicador","AUSTRIA","municipio","ADEJE","año",2009)-1</f>
        <v>0.28805132317562143</v>
      </c>
      <c r="G22" s="498">
        <f>GETPIVOTDATA("dato",'[1]tabla dinámica nacionalidad zon'!$A$36,"indicador","AUSTRIA","municipio","ARONA","año",2010)/GETPIVOTDATA("dato",'[1]tabla dinámica nacionalidad zon'!$A$36,"indicador","AUSTRIA","municipio","ARONA","año",2009)-1</f>
        <v>-4.3794186959937198E-2</v>
      </c>
    </row>
    <row r="23" spans="2:7">
      <c r="B23" s="487" t="s">
        <v>175</v>
      </c>
      <c r="C23" s="498">
        <f>GETPIVOTDATA("Suma de TOTAL GENERAL",'[1]tabla dinámica nacionalidad zon'!$A$3,"PAIS/INDICADOR","RUSIA","AÑO","2010")/GETPIVOTDATA("Suma de TOTAL GENERAL",'[1]tabla dinámica nacionalidad zon'!$A$3,"PAIS/INDICADOR","RUSIA","AÑO","2009")-1</f>
        <v>8.1798736262385319E-2</v>
      </c>
      <c r="D23" s="498">
        <f>GETPIVOTDATA("dato",'[1]tabla dinámica nacionalidad zon'!$A$36,"indicador","RUSIA","municipio","SANTA CRUZ","año",2010)/GETPIVOTDATA("dato",'[1]tabla dinámica nacionalidad zon'!$A$36,"indicador","RUSIA","municipio","SANTA CRUZ","año",2009)-1</f>
        <v>-3.515625E-2</v>
      </c>
      <c r="E23" s="498">
        <f>GETPIVOTDATA("dato",'[1]tabla dinámica nacionalidad zon'!$A$36,"indicador","RUSIA","municipio","PUERTO DE LA CRUZ","año",2010)/GETPIVOTDATA("dato",'[1]tabla dinámica nacionalidad zon'!$A$36,"indicador","RUSIA","municipio","PUERTO DE LA CRUZ","año",2009)-1</f>
        <v>0.12397820163487738</v>
      </c>
      <c r="F23" s="498">
        <f>GETPIVOTDATA("dato",'[1]tabla dinámica nacionalidad zon'!$A$36,"indicador","RUSIA","municipio","ADEJE","año",2010)/GETPIVOTDATA("dato",'[1]tabla dinámica nacionalidad zon'!$A$36,"indicador","RUSIA","municipio","ADEJE","año",2009)-1</f>
        <v>0.15979684351914036</v>
      </c>
      <c r="G23" s="498">
        <f>GETPIVOTDATA("dato",'[1]tabla dinámica nacionalidad zon'!$A$36,"indicador","RUSIA","municipio","ARONA","año",2010)/GETPIVOTDATA("dato",'[1]tabla dinámica nacionalidad zon'!$A$36,"indicador","RUSIA","municipio","ARONA","año",2009)-1</f>
        <v>0.1402384165542061</v>
      </c>
    </row>
    <row r="24" spans="2:7">
      <c r="B24" s="487" t="s">
        <v>176</v>
      </c>
      <c r="C24" s="498">
        <f>GETPIVOTDATA("Suma de TOTAL GENERAL",'[1]tabla dinámica nacionalidad zon'!$A$3,"PAIS/INDICADOR","PAISES DEL ESTE","AÑO","2010")/GETPIVOTDATA("Suma de TOTAL GENERAL",'[1]tabla dinámica nacionalidad zon'!$A$3,"PAIS/INDICADOR","PAISES DEL ESTE","AÑO","2009")-1</f>
        <v>-7.4984391259105054E-2</v>
      </c>
      <c r="D24" s="498">
        <f>GETPIVOTDATA("dato",'[1]tabla dinámica nacionalidad zon'!$A$36,"indicador","PAÍSES DEL ESTE","municipio","SANTA CRUZ","año",2010)/GETPIVOTDATA("dato",'[1]tabla dinámica nacionalidad zon'!$A$36,"indicador","PAÍSES DEL ESTE","municipio","SANTA CRUZ","año",2009)-1</f>
        <v>-0.19310344827586212</v>
      </c>
      <c r="E24" s="498">
        <f>GETPIVOTDATA("dato",'[1]tabla dinámica nacionalidad zon'!$A$36,"indicador","PAÍSES DEL ESTE","municipio","PUERTO DE LA CRUZ","año",2010)/GETPIVOTDATA("dato",'[1]tabla dinámica nacionalidad zon'!$A$36,"indicador","PAÍSES DEL ESTE","municipio","PUERTO DE LA CRUZ","año",2009)-1</f>
        <v>-0.39327485380116955</v>
      </c>
      <c r="F24" s="498">
        <f>GETPIVOTDATA("dato",'[1]tabla dinámica nacionalidad zon'!$A$36,"indicador","PAÍSES DEL ESTE","municipio","ADEJE","año",2010)/GETPIVOTDATA("dato",'[1]tabla dinámica nacionalidad zon'!$A$36,"indicador","PAÍSES DEL ESTE","municipio","ADEJE","año",2009)-1</f>
        <v>-9.8308739303281434E-2</v>
      </c>
      <c r="G24" s="498">
        <f>GETPIVOTDATA("dato",'[1]tabla dinámica nacionalidad zon'!$A$36,"indicador","PAÍSES DEL ESTE","municipio","ARONA","año",2010)/GETPIVOTDATA("dato",'[1]tabla dinámica nacionalidad zon'!$A$36,"indicador","PAÍSES DEL ESTE","municipio","ARONA","año",2009)-1</f>
        <v>0.15186302169471744</v>
      </c>
    </row>
    <row r="25" spans="2:7">
      <c r="B25" s="487" t="s">
        <v>177</v>
      </c>
      <c r="C25" s="498">
        <f>GETPIVOTDATA("Suma de TOTAL GENERAL",'[1]tabla dinámica nacionalidad zon'!$A$3,"PAIS/INDICADOR","RESTO DE EUROPA","AÑO","2010")/GETPIVOTDATA("Suma de TOTAL GENERAL",'[1]tabla dinámica nacionalidad zon'!$A$3,"PAIS/INDICADOR","RESTO DE EUROPA","AÑO","2009")-1</f>
        <v>1.5977755644089875E-3</v>
      </c>
      <c r="D25" s="498">
        <f>GETPIVOTDATA("dato",'[1]tabla dinámica nacionalidad zon'!$A$36,"indicador","RESTO DE EUROPA","municipio","SANTA CRUZ","año",2010)/GETPIVOTDATA("dato",'[1]tabla dinámica nacionalidad zon'!$A$36,"indicador","RESTO DE EUROPA","municipio","SANTA CRUZ","año",2009)-1</f>
        <v>-9.8901098901098883E-2</v>
      </c>
      <c r="E25" s="498">
        <f>GETPIVOTDATA("dato",'[1]tabla dinámica nacionalidad zon'!$A$36,"indicador","RESTO DE EUROPA","municipio","PUERTO DE LA CRUZ","año",2010)/GETPIVOTDATA("dato",'[1]tabla dinámica nacionalidad zon'!$A$36,"indicador","RESTO DE EUROPA","municipio","PUERTO DE LA CRUZ","año",2009)-1</f>
        <v>-0.11562370493162044</v>
      </c>
      <c r="F25" s="498">
        <f>GETPIVOTDATA("dato",'[1]tabla dinámica nacionalidad zon'!$A$36,"indicador","RESTO DE EUROPA","municipio","ADEJE","año",2010)/GETPIVOTDATA("dato",'[1]tabla dinámica nacionalidad zon'!$A$36,"indicador","RESTO DE EUROPA","municipio","ADEJE","año",2009)-1</f>
        <v>4.930199681922609E-2</v>
      </c>
      <c r="G25" s="498">
        <f>GETPIVOTDATA("dato",'[1]tabla dinámica nacionalidad zon'!$A$36,"indicador","RESTO DE EUROPA","municipio","ARONA","año",2010)/GETPIVOTDATA("dato",'[1]tabla dinámica nacionalidad zon'!$A$36,"indicador","RESTO DE EUROPA","municipio","ARONA","año",2009)-1</f>
        <v>-9.0600390145220699E-2</v>
      </c>
    </row>
    <row r="26" spans="2:7">
      <c r="B26" s="487" t="s">
        <v>178</v>
      </c>
      <c r="C26" s="498">
        <f>GETPIVOTDATA("Suma de TOTAL GENERAL",'[1]tabla dinámica nacionalidad zon'!$A$3,"PAIS/INDICADOR","USA","AÑO","2010")/GETPIVOTDATA("Suma de TOTAL GENERAL",'[1]tabla dinámica nacionalidad zon'!$A$3,"PAIS/INDICADOR","USA","AÑO","2009")-1</f>
        <v>0.12539364443172052</v>
      </c>
      <c r="D26" s="498">
        <f>GETPIVOTDATA("dato",'[1]tabla dinámica nacionalidad zon'!$A$36,"indicador","USA","municipio","SANTA CRUZ","año",2010)/GETPIVOTDATA("dato",'[1]tabla dinámica nacionalidad zon'!$A$36,"indicador","USA","municipio","SANTA CRUZ","año",2009)-1</f>
        <v>0.41366906474820153</v>
      </c>
      <c r="E26" s="498">
        <f>GETPIVOTDATA("dato",'[1]tabla dinámica nacionalidad zon'!$A$36,"indicador","USA","municipio","PUERTO DE LA CRUZ","año",2010)/GETPIVOTDATA("dato",'[1]tabla dinámica nacionalidad zon'!$A$36,"indicador","USA","municipio","PUERTO DE LA CRUZ","año",2009)-1</f>
        <v>0.24408703878902549</v>
      </c>
      <c r="F26" s="498">
        <f>GETPIVOTDATA("dato",'[1]tabla dinámica nacionalidad zon'!$A$36,"indicador","USA","municipio","ADEJE","año",2010)/GETPIVOTDATA("dato",'[1]tabla dinámica nacionalidad zon'!$A$36,"indicador","USA","municipio","ADEJE","año",2009)-1</f>
        <v>5.3208996160175603E-2</v>
      </c>
      <c r="G26" s="498">
        <f>GETPIVOTDATA("dato",'[1]tabla dinámica nacionalidad zon'!$A$36,"indicador","USA","municipio","ARONA","año",2010)/GETPIVOTDATA("dato",'[1]tabla dinámica nacionalidad zon'!$A$36,"indicador","USA","municipio","ARONA","año",2009)-1</f>
        <v>-0.18025751072961371</v>
      </c>
    </row>
    <row r="27" spans="2:7">
      <c r="B27" s="487" t="s">
        <v>179</v>
      </c>
      <c r="C27" s="498">
        <f>GETPIVOTDATA("Suma de TOTAL GENERAL",'[1]tabla dinámica nacionalidad zon'!$A$3,"PAIS/INDICADOR","RESTO DE AMERICA","AÑO","2010")/GETPIVOTDATA("Suma de TOTAL GENERAL",'[1]tabla dinámica nacionalidad zon'!$A$3,"PAIS/INDICADOR","RESTO DE AMERICA","AÑO","2009")-1</f>
        <v>6.7347528663647793E-2</v>
      </c>
      <c r="D27" s="498">
        <f>GETPIVOTDATA("dato",'[1]tabla dinámica nacionalidad zon'!$A$36,"indicador","RESTO DE AMÉRICA","municipio","SANTA CRUZ","año",2010)/GETPIVOTDATA("dato",'[1]tabla dinámica nacionalidad zon'!$A$36,"indicador","RESTO DE AMÉRICA","municipio","SANTA CRUZ","año",2009)-1</f>
        <v>0.11332250203086924</v>
      </c>
      <c r="E27" s="498">
        <f>GETPIVOTDATA("dato",'[1]tabla dinámica nacionalidad zon'!$A$36,"indicador","RESTO DE AMÉRICA","municipio","PUERTO DE LA CRUZ","año",2010)/GETPIVOTDATA("dato",'[1]tabla dinámica nacionalidad zon'!$A$36,"indicador","RESTO DE AMÉRICA","municipio","PUERTO DE LA CRUZ","año",2009)-1</f>
        <v>-4.5373980857851826E-2</v>
      </c>
      <c r="F27" s="498">
        <f>GETPIVOTDATA("dato",'[1]tabla dinámica nacionalidad zon'!$A$36,"indicador","RESTO DE AMÉRICA","municipio","ADEJE","año",2010)/GETPIVOTDATA("dato",'[1]tabla dinámica nacionalidad zon'!$A$36,"indicador","RESTO DE AMÉRICA","municipio","ADEJE","año",2009)-1</f>
        <v>-0.13831967213114749</v>
      </c>
      <c r="G27" s="498">
        <f>GETPIVOTDATA("dato",'[1]tabla dinámica nacionalidad zon'!$A$36,"indicador","RESTO DE AMÉRICA","municipio","ARONA","año",2010)/GETPIVOTDATA("dato",'[1]tabla dinámica nacionalidad zon'!$A$36,"indicador","RESTO DE AMÉRICA","municipio","ARONA","año",2009)-1</f>
        <v>0.12788018433179715</v>
      </c>
    </row>
    <row r="28" spans="2:7">
      <c r="B28" s="277" t="s">
        <v>180</v>
      </c>
      <c r="C28" s="498">
        <f>GETPIVOTDATA("Suma de TOTAL GENERAL",'[1]tabla dinámica nacionalidad zon'!$A$3,"PAIS/INDICADOR","RESTO DEL MUNDO","AÑO","2010")/GETPIVOTDATA("Suma de TOTAL GENERAL",'[1]tabla dinámica nacionalidad zon'!$A$3,"PAIS/INDICADOR","RESTO DEL MUNDO","AÑO","2009")-1</f>
        <v>0.49543125533731858</v>
      </c>
      <c r="D28" s="498">
        <f>GETPIVOTDATA("dato",'[1]tabla dinámica nacionalidad zon'!$A$36,"indicador","RESTO DEL MUNDO","municipio","SANTA CRUZ","año",2010)/GETPIVOTDATA("dato",'[1]tabla dinámica nacionalidad zon'!$A$36,"indicador","RESTO DEL MUNDO","municipio","SANTA CRUZ","año",2009)-1</f>
        <v>0.1994428969359332</v>
      </c>
      <c r="E28" s="498">
        <f>GETPIVOTDATA("dato",'[1]tabla dinámica nacionalidad zon'!$A$36,"indicador","RESTO DEL MUNDO","municipio","PUERTO DE LA CRUZ","año",2010)/GETPIVOTDATA("dato",'[1]tabla dinámica nacionalidad zon'!$A$36,"indicador","RESTO DEL MUNDO","municipio","PUERTO DE LA CRUZ","año",2009)-1</f>
        <v>3.6509675063891578E-3</v>
      </c>
      <c r="F28" s="498">
        <f>GETPIVOTDATA("dato",'[1]tabla dinámica nacionalidad zon'!$A$36,"indicador","RESTO DEL MUNDO","municipio","ADEJE","año",2010)/GETPIVOTDATA("dato",'[1]tabla dinámica nacionalidad zon'!$A$36,"indicador","RESTO DEL MUNDO","municipio","ADEJE","año",2009)-1</f>
        <v>0.71399696816574032</v>
      </c>
      <c r="G28" s="498">
        <f>GETPIVOTDATA("dato",'[1]tabla dinámica nacionalidad zon'!$A$36,"indicador","RESTO DEL MUNDO","municipio","ARONA","año",2010)/GETPIVOTDATA("dato",'[1]tabla dinámica nacionalidad zon'!$A$36,"indicador","RESTO DEL MUNDO","municipio","ARONA","año",2009)-1</f>
        <v>-1.6004197822379607E-2</v>
      </c>
    </row>
    <row r="29" spans="2:7" ht="25.5">
      <c r="B29" s="288" t="s">
        <v>335</v>
      </c>
      <c r="C29" s="499">
        <f>(GETPIVOTDATA("Suma de TOTAL GENERAL",'[1]tabla dinámica nacionalidad zon'!$A$3,"PAIS/INDICADOR","TOTAL","AÑO","2010")-GETPIVOTDATA("Suma de TOTAL GENERAL",'[1]tabla dinámica nacionalidad zon'!$A$3,"PAIS/INDICADOR","ESPAÑA","AÑO","2010"))/(GETPIVOTDATA("Suma de TOTAL GENERAL",'[1]tabla dinámica nacionalidad zon'!$A$3,"PAIS/INDICADOR","TOTAL","AÑO","2009")-GETPIVOTDATA("Suma de TOTAL GENERAL",'[1]tabla dinámica nacionalidad zon'!$A$3,"PAIS/INDICADOR","ESPAÑA","AÑO","2009"))-1</f>
        <v>-8.2757335238657914E-3</v>
      </c>
      <c r="D29" s="499">
        <f>(GETPIVOTDATA("dato",'[1]tabla dinámica nacionalidad zon'!$A$36,"indicador","TOTAL","municipio","SANTA CRUZ","año",2010)-GETPIVOTDATA("dato",'[1]tabla dinámica nacionalidad zon'!$A$36,"indicador","España","municipio","SANTA CRUZ","año",2010))/(GETPIVOTDATA("dato",'[1]tabla dinámica nacionalidad zon'!$A$36,"indicador","TOTAL","municipio","SANTA CRUZ","año",2009)-GETPIVOTDATA("dato",'[1]tabla dinámica nacionalidad zon'!$A$36,"indicador","España","municipio","SANTA CRUZ","año",2009))-1</f>
        <v>3.9511948413200049E-2</v>
      </c>
      <c r="E29" s="499">
        <f>(GETPIVOTDATA("dato",'[1]tabla dinámica nacionalidad zon'!$A$36,"indicador","TOTAL","municipio","PUERTO DE LA CRUZ","año",2010)-GETPIVOTDATA("dato",'[1]tabla dinámica nacionalidad zon'!$A$36,"indicador","España","municipio","PUERTO DE LA CRUZ","año",2010))/(GETPIVOTDATA("dato",'[1]tabla dinámica nacionalidad zon'!$A$36,"indicador","TOTAL","municipio","PUERTO DE LA CRUZ","año",2009)-GETPIVOTDATA("dato",'[1]tabla dinámica nacionalidad zon'!$A$36,"indicador","España","municipio","PUERTO DE LA CRUZ","año",2009))-1</f>
        <v>-0.11996695801658797</v>
      </c>
      <c r="F29" s="499">
        <f>(GETPIVOTDATA("dato",'[1]tabla dinámica nacionalidad zon'!$A$36,"indicador","TOTAL","municipio","ADEJE","año",2010)-GETPIVOTDATA("dato",'[1]tabla dinámica nacionalidad zon'!$A$36,"indicador","España","municipio","ADEJE","año",2010))/(GETPIVOTDATA("dato",'[1]tabla dinámica nacionalidad zon'!$A$36,"indicador","TOTAL","municipio","ADEJE","año",2009)-GETPIVOTDATA("dato",'[1]tabla dinámica nacionalidad zon'!$A$36,"indicador","España","municipio","ADEJE","año",2009))-1</f>
        <v>1.1097074830203058E-2</v>
      </c>
      <c r="G29" s="499">
        <f>(GETPIVOTDATA("dato",'[1]tabla dinámica nacionalidad zon'!$A$36,"indicador","TOTAL","municipio","ARONA","año",2010)-GETPIVOTDATA("dato",'[1]tabla dinámica nacionalidad zon'!$A$36,"indicador","España","municipio","ARONA","año",2010))/(GETPIVOTDATA("dato",'[1]tabla dinámica nacionalidad zon'!$A$36,"indicador","TOTAL","municipio","ARONA","año",2009)-GETPIVOTDATA("dato",'[1]tabla dinámica nacionalidad zon'!$A$36,"indicador","España","municipio","ARONA","año",2009))-1</f>
        <v>-1.1013087764495832E-2</v>
      </c>
    </row>
    <row r="30" spans="2:7">
      <c r="B30" s="492" t="s">
        <v>107</v>
      </c>
      <c r="C30" s="500">
        <f>GETPIVOTDATA("Suma de TOTAL GENERAL",'[1]tabla dinámica nacionalidad zon'!$A$3,"PAIS/INDICADOR","TOTAL","AÑO","2010")/GETPIVOTDATA("Suma de TOTAL GENERAL",'[1]tabla dinámica nacionalidad zon'!$A$3,"PAIS/INDICADOR","TOTAL","AÑO","2009")-1</f>
        <v>1.3778881153530875E-2</v>
      </c>
      <c r="D30" s="500">
        <f>GETPIVOTDATA("dato",'[1]tabla dinámica nacionalidad zon'!$A$36,"indicador","TOTAL","municipio","SANTA CRUZ","año",2010)/GETPIVOTDATA("dato",'[1]tabla dinámica nacionalidad zon'!$A$36,"indicador","TOTAL","municipio","SANTA CRUZ","año",2009)-1</f>
        <v>-2.8999455998660939E-2</v>
      </c>
      <c r="E30" s="500">
        <f>GETPIVOTDATA("dato",'[1]tabla dinámica nacionalidad zon'!$A$36,"indicador","TOTAL","municipio","PUERTO DE LA CRUZ","año",2010)/GETPIVOTDATA("dato",'[1]tabla dinámica nacionalidad zon'!$A$36,"indicador","TOTAL","municipio","PUERTO DE LA CRUZ","año",2009)-1</f>
        <v>-6.4374828100835502E-2</v>
      </c>
      <c r="F30" s="500">
        <f>GETPIVOTDATA("dato",'[1]tabla dinámica nacionalidad zon'!$A$36,"indicador","TOTAL","municipio","ADEJE","año",2010)/GETPIVOTDATA("dato",'[1]tabla dinámica nacionalidad zon'!$A$36,"indicador","TOTAL","municipio","ADEJE","año",2009)-1</f>
        <v>3.4725819854985795E-2</v>
      </c>
      <c r="G30" s="500">
        <f>GETPIVOTDATA("dato",'[1]tabla dinámica nacionalidad zon'!$A$36,"indicador","TOTAL","municipio","ARONA","año",2010)/GETPIVOTDATA("dato",'[1]tabla dinámica nacionalidad zon'!$A$36,"indicador","TOTAL","municipio","ARONA","año",2009)-1</f>
        <v>1.205169392703942E-2</v>
      </c>
    </row>
    <row r="31" spans="2:7" ht="24" customHeight="1">
      <c r="B31" s="283" t="s">
        <v>217</v>
      </c>
      <c r="C31" s="495"/>
      <c r="D31" s="495"/>
      <c r="E31" s="495"/>
      <c r="F31" s="495"/>
      <c r="G31" s="496"/>
    </row>
  </sheetData>
  <mergeCells count="3">
    <mergeCell ref="B5:G5"/>
    <mergeCell ref="B6:G6"/>
    <mergeCell ref="B31:G3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91.xml><?xml version="1.0" encoding="utf-8"?>
<worksheet xmlns="http://schemas.openxmlformats.org/spreadsheetml/2006/main" xmlns:r="http://schemas.openxmlformats.org/officeDocument/2006/relationships">
  <sheetPr codeName="Hoja9">
    <tabColor rgb="FF000099"/>
    <pageSetUpPr autoPageBreaks="0" fitToPage="1"/>
  </sheetPr>
  <dimension ref="B1:K34"/>
  <sheetViews>
    <sheetView showGridLines="0" showRowColHeaders="0" showOutlineSymbols="0" zoomScaleNormal="100" workbookViewId="0">
      <selection activeCell="B25" sqref="B25"/>
    </sheetView>
  </sheetViews>
  <sheetFormatPr baseColWidth="10" defaultRowHeight="12"/>
  <cols>
    <col min="1" max="1" width="13.5703125" style="479" customWidth="1"/>
    <col min="2" max="2" width="23.7109375" style="479" customWidth="1"/>
    <col min="3" max="7" width="10.7109375" style="479" customWidth="1"/>
    <col min="8" max="256" width="11.42578125" style="479"/>
    <col min="257" max="257" width="13.5703125" style="479" customWidth="1"/>
    <col min="258" max="258" width="23.7109375" style="479" customWidth="1"/>
    <col min="259" max="263" width="10.7109375" style="479" customWidth="1"/>
    <col min="264" max="512" width="11.42578125" style="479"/>
    <col min="513" max="513" width="13.5703125" style="479" customWidth="1"/>
    <col min="514" max="514" width="23.7109375" style="479" customWidth="1"/>
    <col min="515" max="519" width="10.7109375" style="479" customWidth="1"/>
    <col min="520" max="768" width="11.42578125" style="479"/>
    <col min="769" max="769" width="13.5703125" style="479" customWidth="1"/>
    <col min="770" max="770" width="23.7109375" style="479" customWidth="1"/>
    <col min="771" max="775" width="10.7109375" style="479" customWidth="1"/>
    <col min="776" max="1024" width="11.42578125" style="479"/>
    <col min="1025" max="1025" width="13.5703125" style="479" customWidth="1"/>
    <col min="1026" max="1026" width="23.7109375" style="479" customWidth="1"/>
    <col min="1027" max="1031" width="10.7109375" style="479" customWidth="1"/>
    <col min="1032" max="1280" width="11.42578125" style="479"/>
    <col min="1281" max="1281" width="13.5703125" style="479" customWidth="1"/>
    <col min="1282" max="1282" width="23.7109375" style="479" customWidth="1"/>
    <col min="1283" max="1287" width="10.7109375" style="479" customWidth="1"/>
    <col min="1288" max="1536" width="11.42578125" style="479"/>
    <col min="1537" max="1537" width="13.5703125" style="479" customWidth="1"/>
    <col min="1538" max="1538" width="23.7109375" style="479" customWidth="1"/>
    <col min="1539" max="1543" width="10.7109375" style="479" customWidth="1"/>
    <col min="1544" max="1792" width="11.42578125" style="479"/>
    <col min="1793" max="1793" width="13.5703125" style="479" customWidth="1"/>
    <col min="1794" max="1794" width="23.7109375" style="479" customWidth="1"/>
    <col min="1795" max="1799" width="10.7109375" style="479" customWidth="1"/>
    <col min="1800" max="2048" width="11.42578125" style="479"/>
    <col min="2049" max="2049" width="13.5703125" style="479" customWidth="1"/>
    <col min="2050" max="2050" width="23.7109375" style="479" customWidth="1"/>
    <col min="2051" max="2055" width="10.7109375" style="479" customWidth="1"/>
    <col min="2056" max="2304" width="11.42578125" style="479"/>
    <col min="2305" max="2305" width="13.5703125" style="479" customWidth="1"/>
    <col min="2306" max="2306" width="23.7109375" style="479" customWidth="1"/>
    <col min="2307" max="2311" width="10.7109375" style="479" customWidth="1"/>
    <col min="2312" max="2560" width="11.42578125" style="479"/>
    <col min="2561" max="2561" width="13.5703125" style="479" customWidth="1"/>
    <col min="2562" max="2562" width="23.7109375" style="479" customWidth="1"/>
    <col min="2563" max="2567" width="10.7109375" style="479" customWidth="1"/>
    <col min="2568" max="2816" width="11.42578125" style="479"/>
    <col min="2817" max="2817" width="13.5703125" style="479" customWidth="1"/>
    <col min="2818" max="2818" width="23.7109375" style="479" customWidth="1"/>
    <col min="2819" max="2823" width="10.7109375" style="479" customWidth="1"/>
    <col min="2824" max="3072" width="11.42578125" style="479"/>
    <col min="3073" max="3073" width="13.5703125" style="479" customWidth="1"/>
    <col min="3074" max="3074" width="23.7109375" style="479" customWidth="1"/>
    <col min="3075" max="3079" width="10.7109375" style="479" customWidth="1"/>
    <col min="3080" max="3328" width="11.42578125" style="479"/>
    <col min="3329" max="3329" width="13.5703125" style="479" customWidth="1"/>
    <col min="3330" max="3330" width="23.7109375" style="479" customWidth="1"/>
    <col min="3331" max="3335" width="10.7109375" style="479" customWidth="1"/>
    <col min="3336" max="3584" width="11.42578125" style="479"/>
    <col min="3585" max="3585" width="13.5703125" style="479" customWidth="1"/>
    <col min="3586" max="3586" width="23.7109375" style="479" customWidth="1"/>
    <col min="3587" max="3591" width="10.7109375" style="479" customWidth="1"/>
    <col min="3592" max="3840" width="11.42578125" style="479"/>
    <col min="3841" max="3841" width="13.5703125" style="479" customWidth="1"/>
    <col min="3842" max="3842" width="23.7109375" style="479" customWidth="1"/>
    <col min="3843" max="3847" width="10.7109375" style="479" customWidth="1"/>
    <col min="3848" max="4096" width="11.42578125" style="479"/>
    <col min="4097" max="4097" width="13.5703125" style="479" customWidth="1"/>
    <col min="4098" max="4098" width="23.7109375" style="479" customWidth="1"/>
    <col min="4099" max="4103" width="10.7109375" style="479" customWidth="1"/>
    <col min="4104" max="4352" width="11.42578125" style="479"/>
    <col min="4353" max="4353" width="13.5703125" style="479" customWidth="1"/>
    <col min="4354" max="4354" width="23.7109375" style="479" customWidth="1"/>
    <col min="4355" max="4359" width="10.7109375" style="479" customWidth="1"/>
    <col min="4360" max="4608" width="11.42578125" style="479"/>
    <col min="4609" max="4609" width="13.5703125" style="479" customWidth="1"/>
    <col min="4610" max="4610" width="23.7109375" style="479" customWidth="1"/>
    <col min="4611" max="4615" width="10.7109375" style="479" customWidth="1"/>
    <col min="4616" max="4864" width="11.42578125" style="479"/>
    <col min="4865" max="4865" width="13.5703125" style="479" customWidth="1"/>
    <col min="4866" max="4866" width="23.7109375" style="479" customWidth="1"/>
    <col min="4867" max="4871" width="10.7109375" style="479" customWidth="1"/>
    <col min="4872" max="5120" width="11.42578125" style="479"/>
    <col min="5121" max="5121" width="13.5703125" style="479" customWidth="1"/>
    <col min="5122" max="5122" width="23.7109375" style="479" customWidth="1"/>
    <col min="5123" max="5127" width="10.7109375" style="479" customWidth="1"/>
    <col min="5128" max="5376" width="11.42578125" style="479"/>
    <col min="5377" max="5377" width="13.5703125" style="479" customWidth="1"/>
    <col min="5378" max="5378" width="23.7109375" style="479" customWidth="1"/>
    <col min="5379" max="5383" width="10.7109375" style="479" customWidth="1"/>
    <col min="5384" max="5632" width="11.42578125" style="479"/>
    <col min="5633" max="5633" width="13.5703125" style="479" customWidth="1"/>
    <col min="5634" max="5634" width="23.7109375" style="479" customWidth="1"/>
    <col min="5635" max="5639" width="10.7109375" style="479" customWidth="1"/>
    <col min="5640" max="5888" width="11.42578125" style="479"/>
    <col min="5889" max="5889" width="13.5703125" style="479" customWidth="1"/>
    <col min="5890" max="5890" width="23.7109375" style="479" customWidth="1"/>
    <col min="5891" max="5895" width="10.7109375" style="479" customWidth="1"/>
    <col min="5896" max="6144" width="11.42578125" style="479"/>
    <col min="6145" max="6145" width="13.5703125" style="479" customWidth="1"/>
    <col min="6146" max="6146" width="23.7109375" style="479" customWidth="1"/>
    <col min="6147" max="6151" width="10.7109375" style="479" customWidth="1"/>
    <col min="6152" max="6400" width="11.42578125" style="479"/>
    <col min="6401" max="6401" width="13.5703125" style="479" customWidth="1"/>
    <col min="6402" max="6402" width="23.7109375" style="479" customWidth="1"/>
    <col min="6403" max="6407" width="10.7109375" style="479" customWidth="1"/>
    <col min="6408" max="6656" width="11.42578125" style="479"/>
    <col min="6657" max="6657" width="13.5703125" style="479" customWidth="1"/>
    <col min="6658" max="6658" width="23.7109375" style="479" customWidth="1"/>
    <col min="6659" max="6663" width="10.7109375" style="479" customWidth="1"/>
    <col min="6664" max="6912" width="11.42578125" style="479"/>
    <col min="6913" max="6913" width="13.5703125" style="479" customWidth="1"/>
    <col min="6914" max="6914" width="23.7109375" style="479" customWidth="1"/>
    <col min="6915" max="6919" width="10.7109375" style="479" customWidth="1"/>
    <col min="6920" max="7168" width="11.42578125" style="479"/>
    <col min="7169" max="7169" width="13.5703125" style="479" customWidth="1"/>
    <col min="7170" max="7170" width="23.7109375" style="479" customWidth="1"/>
    <col min="7171" max="7175" width="10.7109375" style="479" customWidth="1"/>
    <col min="7176" max="7424" width="11.42578125" style="479"/>
    <col min="7425" max="7425" width="13.5703125" style="479" customWidth="1"/>
    <col min="7426" max="7426" width="23.7109375" style="479" customWidth="1"/>
    <col min="7427" max="7431" width="10.7109375" style="479" customWidth="1"/>
    <col min="7432" max="7680" width="11.42578125" style="479"/>
    <col min="7681" max="7681" width="13.5703125" style="479" customWidth="1"/>
    <col min="7682" max="7682" width="23.7109375" style="479" customWidth="1"/>
    <col min="7683" max="7687" width="10.7109375" style="479" customWidth="1"/>
    <col min="7688" max="7936" width="11.42578125" style="479"/>
    <col min="7937" max="7937" width="13.5703125" style="479" customWidth="1"/>
    <col min="7938" max="7938" width="23.7109375" style="479" customWidth="1"/>
    <col min="7939" max="7943" width="10.7109375" style="479" customWidth="1"/>
    <col min="7944" max="8192" width="11.42578125" style="479"/>
    <col min="8193" max="8193" width="13.5703125" style="479" customWidth="1"/>
    <col min="8194" max="8194" width="23.7109375" style="479" customWidth="1"/>
    <col min="8195" max="8199" width="10.7109375" style="479" customWidth="1"/>
    <col min="8200" max="8448" width="11.42578125" style="479"/>
    <col min="8449" max="8449" width="13.5703125" style="479" customWidth="1"/>
    <col min="8450" max="8450" width="23.7109375" style="479" customWidth="1"/>
    <col min="8451" max="8455" width="10.7109375" style="479" customWidth="1"/>
    <col min="8456" max="8704" width="11.42578125" style="479"/>
    <col min="8705" max="8705" width="13.5703125" style="479" customWidth="1"/>
    <col min="8706" max="8706" width="23.7109375" style="479" customWidth="1"/>
    <col min="8707" max="8711" width="10.7109375" style="479" customWidth="1"/>
    <col min="8712" max="8960" width="11.42578125" style="479"/>
    <col min="8961" max="8961" width="13.5703125" style="479" customWidth="1"/>
    <col min="8962" max="8962" width="23.7109375" style="479" customWidth="1"/>
    <col min="8963" max="8967" width="10.7109375" style="479" customWidth="1"/>
    <col min="8968" max="9216" width="11.42578125" style="479"/>
    <col min="9217" max="9217" width="13.5703125" style="479" customWidth="1"/>
    <col min="9218" max="9218" width="23.7109375" style="479" customWidth="1"/>
    <col min="9219" max="9223" width="10.7109375" style="479" customWidth="1"/>
    <col min="9224" max="9472" width="11.42578125" style="479"/>
    <col min="9473" max="9473" width="13.5703125" style="479" customWidth="1"/>
    <col min="9474" max="9474" width="23.7109375" style="479" customWidth="1"/>
    <col min="9475" max="9479" width="10.7109375" style="479" customWidth="1"/>
    <col min="9480" max="9728" width="11.42578125" style="479"/>
    <col min="9729" max="9729" width="13.5703125" style="479" customWidth="1"/>
    <col min="9730" max="9730" width="23.7109375" style="479" customWidth="1"/>
    <col min="9731" max="9735" width="10.7109375" style="479" customWidth="1"/>
    <col min="9736" max="9984" width="11.42578125" style="479"/>
    <col min="9985" max="9985" width="13.5703125" style="479" customWidth="1"/>
    <col min="9986" max="9986" width="23.7109375" style="479" customWidth="1"/>
    <col min="9987" max="9991" width="10.7109375" style="479" customWidth="1"/>
    <col min="9992" max="10240" width="11.42578125" style="479"/>
    <col min="10241" max="10241" width="13.5703125" style="479" customWidth="1"/>
    <col min="10242" max="10242" width="23.7109375" style="479" customWidth="1"/>
    <col min="10243" max="10247" width="10.7109375" style="479" customWidth="1"/>
    <col min="10248" max="10496" width="11.42578125" style="479"/>
    <col min="10497" max="10497" width="13.5703125" style="479" customWidth="1"/>
    <col min="10498" max="10498" width="23.7109375" style="479" customWidth="1"/>
    <col min="10499" max="10503" width="10.7109375" style="479" customWidth="1"/>
    <col min="10504" max="10752" width="11.42578125" style="479"/>
    <col min="10753" max="10753" width="13.5703125" style="479" customWidth="1"/>
    <col min="10754" max="10754" width="23.7109375" style="479" customWidth="1"/>
    <col min="10755" max="10759" width="10.7109375" style="479" customWidth="1"/>
    <col min="10760" max="11008" width="11.42578125" style="479"/>
    <col min="11009" max="11009" width="13.5703125" style="479" customWidth="1"/>
    <col min="11010" max="11010" width="23.7109375" style="479" customWidth="1"/>
    <col min="11011" max="11015" width="10.7109375" style="479" customWidth="1"/>
    <col min="11016" max="11264" width="11.42578125" style="479"/>
    <col min="11265" max="11265" width="13.5703125" style="479" customWidth="1"/>
    <col min="11266" max="11266" width="23.7109375" style="479" customWidth="1"/>
    <col min="11267" max="11271" width="10.7109375" style="479" customWidth="1"/>
    <col min="11272" max="11520" width="11.42578125" style="479"/>
    <col min="11521" max="11521" width="13.5703125" style="479" customWidth="1"/>
    <col min="11522" max="11522" width="23.7109375" style="479" customWidth="1"/>
    <col min="11523" max="11527" width="10.7109375" style="479" customWidth="1"/>
    <col min="11528" max="11776" width="11.42578125" style="479"/>
    <col min="11777" max="11777" width="13.5703125" style="479" customWidth="1"/>
    <col min="11778" max="11778" width="23.7109375" style="479" customWidth="1"/>
    <col min="11779" max="11783" width="10.7109375" style="479" customWidth="1"/>
    <col min="11784" max="12032" width="11.42578125" style="479"/>
    <col min="12033" max="12033" width="13.5703125" style="479" customWidth="1"/>
    <col min="12034" max="12034" width="23.7109375" style="479" customWidth="1"/>
    <col min="12035" max="12039" width="10.7109375" style="479" customWidth="1"/>
    <col min="12040" max="12288" width="11.42578125" style="479"/>
    <col min="12289" max="12289" width="13.5703125" style="479" customWidth="1"/>
    <col min="12290" max="12290" width="23.7109375" style="479" customWidth="1"/>
    <col min="12291" max="12295" width="10.7109375" style="479" customWidth="1"/>
    <col min="12296" max="12544" width="11.42578125" style="479"/>
    <col min="12545" max="12545" width="13.5703125" style="479" customWidth="1"/>
    <col min="12546" max="12546" width="23.7109375" style="479" customWidth="1"/>
    <col min="12547" max="12551" width="10.7109375" style="479" customWidth="1"/>
    <col min="12552" max="12800" width="11.42578125" style="479"/>
    <col min="12801" max="12801" width="13.5703125" style="479" customWidth="1"/>
    <col min="12802" max="12802" width="23.7109375" style="479" customWidth="1"/>
    <col min="12803" max="12807" width="10.7109375" style="479" customWidth="1"/>
    <col min="12808" max="13056" width="11.42578125" style="479"/>
    <col min="13057" max="13057" width="13.5703125" style="479" customWidth="1"/>
    <col min="13058" max="13058" width="23.7109375" style="479" customWidth="1"/>
    <col min="13059" max="13063" width="10.7109375" style="479" customWidth="1"/>
    <col min="13064" max="13312" width="11.42578125" style="479"/>
    <col min="13313" max="13313" width="13.5703125" style="479" customWidth="1"/>
    <col min="13314" max="13314" width="23.7109375" style="479" customWidth="1"/>
    <col min="13315" max="13319" width="10.7109375" style="479" customWidth="1"/>
    <col min="13320" max="13568" width="11.42578125" style="479"/>
    <col min="13569" max="13569" width="13.5703125" style="479" customWidth="1"/>
    <col min="13570" max="13570" width="23.7109375" style="479" customWidth="1"/>
    <col min="13571" max="13575" width="10.7109375" style="479" customWidth="1"/>
    <col min="13576" max="13824" width="11.42578125" style="479"/>
    <col min="13825" max="13825" width="13.5703125" style="479" customWidth="1"/>
    <col min="13826" max="13826" width="23.7109375" style="479" customWidth="1"/>
    <col min="13827" max="13831" width="10.7109375" style="479" customWidth="1"/>
    <col min="13832" max="14080" width="11.42578125" style="479"/>
    <col min="14081" max="14081" width="13.5703125" style="479" customWidth="1"/>
    <col min="14082" max="14082" width="23.7109375" style="479" customWidth="1"/>
    <col min="14083" max="14087" width="10.7109375" style="479" customWidth="1"/>
    <col min="14088" max="14336" width="11.42578125" style="479"/>
    <col min="14337" max="14337" width="13.5703125" style="479" customWidth="1"/>
    <col min="14338" max="14338" width="23.7109375" style="479" customWidth="1"/>
    <col min="14339" max="14343" width="10.7109375" style="479" customWidth="1"/>
    <col min="14344" max="14592" width="11.42578125" style="479"/>
    <col min="14593" max="14593" width="13.5703125" style="479" customWidth="1"/>
    <col min="14594" max="14594" width="23.7109375" style="479" customWidth="1"/>
    <col min="14595" max="14599" width="10.7109375" style="479" customWidth="1"/>
    <col min="14600" max="14848" width="11.42578125" style="479"/>
    <col min="14849" max="14849" width="13.5703125" style="479" customWidth="1"/>
    <col min="14850" max="14850" width="23.7109375" style="479" customWidth="1"/>
    <col min="14851" max="14855" width="10.7109375" style="479" customWidth="1"/>
    <col min="14856" max="15104" width="11.42578125" style="479"/>
    <col min="15105" max="15105" width="13.5703125" style="479" customWidth="1"/>
    <col min="15106" max="15106" width="23.7109375" style="479" customWidth="1"/>
    <col min="15107" max="15111" width="10.7109375" style="479" customWidth="1"/>
    <col min="15112" max="15360" width="11.42578125" style="479"/>
    <col min="15361" max="15361" width="13.5703125" style="479" customWidth="1"/>
    <col min="15362" max="15362" width="23.7109375" style="479" customWidth="1"/>
    <col min="15363" max="15367" width="10.7109375" style="479" customWidth="1"/>
    <col min="15368" max="15616" width="11.42578125" style="479"/>
    <col min="15617" max="15617" width="13.5703125" style="479" customWidth="1"/>
    <col min="15618" max="15618" width="23.7109375" style="479" customWidth="1"/>
    <col min="15619" max="15623" width="10.7109375" style="479" customWidth="1"/>
    <col min="15624" max="15872" width="11.42578125" style="479"/>
    <col min="15873" max="15873" width="13.5703125" style="479" customWidth="1"/>
    <col min="15874" max="15874" width="23.7109375" style="479" customWidth="1"/>
    <col min="15875" max="15879" width="10.7109375" style="479" customWidth="1"/>
    <col min="15880" max="16128" width="11.42578125" style="479"/>
    <col min="16129" max="16129" width="13.5703125" style="479" customWidth="1"/>
    <col min="16130" max="16130" width="23.7109375" style="479" customWidth="1"/>
    <col min="16131" max="16135" width="10.7109375" style="479" customWidth="1"/>
    <col min="16136" max="16384" width="11.42578125" style="479"/>
  </cols>
  <sheetData>
    <row r="1" spans="2:10" ht="12.75">
      <c r="B1" s="118"/>
    </row>
    <row r="2" spans="2:10" ht="12.75">
      <c r="B2" s="118"/>
    </row>
    <row r="3" spans="2:10" ht="12.75">
      <c r="B3" s="118"/>
    </row>
    <row r="4" spans="2:10" ht="12.75">
      <c r="B4" s="118"/>
    </row>
    <row r="5" spans="2:10" ht="15" customHeight="1">
      <c r="B5" s="118"/>
    </row>
    <row r="6" spans="2:10" ht="30" customHeight="1">
      <c r="B6" s="480" t="s">
        <v>337</v>
      </c>
      <c r="C6" s="259"/>
      <c r="D6" s="259"/>
      <c r="E6" s="259"/>
      <c r="F6" s="259"/>
      <c r="G6" s="260"/>
    </row>
    <row r="7" spans="2:10" ht="12.75">
      <c r="B7" s="262" t="str">
        <f>actualizaciones!A2</f>
        <v xml:space="preserve">acumulado julio 2010 </v>
      </c>
      <c r="C7" s="263"/>
      <c r="D7" s="263"/>
      <c r="E7" s="263"/>
      <c r="F7" s="263"/>
      <c r="G7" s="264"/>
      <c r="J7" s="501"/>
    </row>
    <row r="8" spans="2:10" ht="28.5" customHeight="1">
      <c r="B8" s="481" t="s">
        <v>158</v>
      </c>
      <c r="C8" s="482" t="s">
        <v>93</v>
      </c>
      <c r="D8" s="483" t="s">
        <v>307</v>
      </c>
      <c r="E8" s="483" t="s">
        <v>306</v>
      </c>
      <c r="F8" s="484" t="s">
        <v>334</v>
      </c>
      <c r="G8" s="484" t="s">
        <v>305</v>
      </c>
    </row>
    <row r="9" spans="2:10">
      <c r="B9" s="485" t="s">
        <v>159</v>
      </c>
      <c r="C9" s="502">
        <f>'Nacionalidad-Zona (datos)'!C9/'Nacionalidad-Zona (datos)'!C$31</f>
        <v>0.30755156997360633</v>
      </c>
      <c r="D9" s="502">
        <f>'Nacionalidad-Zona (datos)'!D9/'Nacionalidad-Zona (datos)'!D$31</f>
        <v>0.82284304430270638</v>
      </c>
      <c r="E9" s="502">
        <f>'Nacionalidad-Zona (datos)'!E9/'Nacionalidad-Zona (datos)'!E$31</f>
        <v>0.62008486358455883</v>
      </c>
      <c r="F9" s="502">
        <f>'Nacionalidad-Zona (datos)'!F9/'Nacionalidad-Zona (datos)'!F$31</f>
        <v>0.222255827474269</v>
      </c>
      <c r="G9" s="502">
        <f>'Nacionalidad-Zona (datos)'!G9/'Nacionalidad-Zona (datos)'!G$31</f>
        <v>0.16884299065648944</v>
      </c>
    </row>
    <row r="10" spans="2:10">
      <c r="B10" s="487" t="s">
        <v>161</v>
      </c>
      <c r="C10" s="503">
        <f>'Nacionalidad-Zona (datos)'!C10/'Nacionalidad-Zona (datos)'!C$31</f>
        <v>2.9089076575640239E-2</v>
      </c>
      <c r="D10" s="503">
        <f>'Nacionalidad-Zona (datos)'!D10/'Nacionalidad-Zona (datos)'!D$31</f>
        <v>5.4516462678848472E-3</v>
      </c>
      <c r="E10" s="503">
        <f>'Nacionalidad-Zona (datos)'!E10/'Nacionalidad-Zona (datos)'!E$31</f>
        <v>4.2359506432235634E-3</v>
      </c>
      <c r="F10" s="503">
        <f>'Nacionalidad-Zona (datos)'!F10/'Nacionalidad-Zona (datos)'!F$31</f>
        <v>3.4631234015508598E-2</v>
      </c>
      <c r="G10" s="503">
        <f>'Nacionalidad-Zona (datos)'!G10/'Nacionalidad-Zona (datos)'!G$31</f>
        <v>4.6065083226523008E-2</v>
      </c>
    </row>
    <row r="11" spans="2:10">
      <c r="B11" s="487" t="s">
        <v>162</v>
      </c>
      <c r="C11" s="503">
        <f>'Nacionalidad-Zona (datos)'!C11/'Nacionalidad-Zona (datos)'!C$31</f>
        <v>2.6426934057023496E-2</v>
      </c>
      <c r="D11" s="503">
        <f>'Nacionalidad-Zona (datos)'!D11/'Nacionalidad-Zona (datos)'!D$31</f>
        <v>3.6631615238751939E-3</v>
      </c>
      <c r="E11" s="503">
        <f>'Nacionalidad-Zona (datos)'!E11/'Nacionalidad-Zona (datos)'!E$31</f>
        <v>3.4046634009527277E-3</v>
      </c>
      <c r="F11" s="503">
        <f>'Nacionalidad-Zona (datos)'!F11/'Nacionalidad-Zona (datos)'!F$31</f>
        <v>3.8996283781367408E-2</v>
      </c>
      <c r="G11" s="503">
        <f>'Nacionalidad-Zona (datos)'!G11/'Nacionalidad-Zona (datos)'!G$31</f>
        <v>3.4166677866986628E-2</v>
      </c>
    </row>
    <row r="12" spans="2:10">
      <c r="B12" s="487" t="s">
        <v>163</v>
      </c>
      <c r="C12" s="503">
        <f>'Nacionalidad-Zona (datos)'!C12/'Nacionalidad-Zona (datos)'!C$31</f>
        <v>0.11022332859637776</v>
      </c>
      <c r="D12" s="503">
        <f>'Nacionalidad-Zona (datos)'!D12/'Nacionalidad-Zona (datos)'!D$31</f>
        <v>2.1009308739872435E-2</v>
      </c>
      <c r="E12" s="503">
        <f>'Nacionalidad-Zona (datos)'!E12/'Nacionalidad-Zona (datos)'!E$31</f>
        <v>0.18205190605731303</v>
      </c>
      <c r="F12" s="503">
        <f>'Nacionalidad-Zona (datos)'!F12/'Nacionalidad-Zona (datos)'!F$31</f>
        <v>0.13530836849112532</v>
      </c>
      <c r="G12" s="503">
        <f>'Nacionalidad-Zona (datos)'!G12/'Nacionalidad-Zona (datos)'!G$31</f>
        <v>5.8063680539179333E-2</v>
      </c>
    </row>
    <row r="13" spans="2:10">
      <c r="B13" s="487" t="s">
        <v>164</v>
      </c>
      <c r="C13" s="503">
        <f>'Nacionalidad-Zona (datos)'!C13/'Nacionalidad-Zona (datos)'!C$31</f>
        <v>2.4346457387463563E-2</v>
      </c>
      <c r="D13" s="503">
        <f>'Nacionalidad-Zona (datos)'!D13/'Nacionalidad-Zona (datos)'!D$31</f>
        <v>1.4814256162730563E-2</v>
      </c>
      <c r="E13" s="503">
        <f>'Nacionalidad-Zona (datos)'!E13/'Nacionalidad-Zona (datos)'!E$31</f>
        <v>2.1256858119748735E-2</v>
      </c>
      <c r="F13" s="503">
        <f>'Nacionalidad-Zona (datos)'!F13/'Nacionalidad-Zona (datos)'!F$31</f>
        <v>2.5276826102016689E-2</v>
      </c>
      <c r="G13" s="503">
        <f>'Nacionalidad-Zona (datos)'!G13/'Nacionalidad-Zona (datos)'!G$31</f>
        <v>2.1840623927060258E-2</v>
      </c>
    </row>
    <row r="14" spans="2:10">
      <c r="B14" s="487" t="s">
        <v>165</v>
      </c>
      <c r="C14" s="503">
        <f>'Nacionalidad-Zona (datos)'!C14/'Nacionalidad-Zona (datos)'!C$31</f>
        <v>0.30999427733350493</v>
      </c>
      <c r="D14" s="503">
        <f>'Nacionalidad-Zona (datos)'!D14/'Nacionalidad-Zona (datos)'!D$31</f>
        <v>1.8692897776245474E-2</v>
      </c>
      <c r="E14" s="503">
        <f>'Nacionalidad-Zona (datos)'!E14/'Nacionalidad-Zona (datos)'!E$31</f>
        <v>6.0671921044578685E-2</v>
      </c>
      <c r="F14" s="503">
        <f>'Nacionalidad-Zona (datos)'!F14/'Nacionalidad-Zona (datos)'!F$31</f>
        <v>0.33226386889319626</v>
      </c>
      <c r="G14" s="503">
        <f>'Nacionalidad-Zona (datos)'!G14/'Nacionalidad-Zona (datos)'!G$31</f>
        <v>0.41855310601163936</v>
      </c>
    </row>
    <row r="15" spans="2:10">
      <c r="B15" s="487" t="s">
        <v>166</v>
      </c>
      <c r="C15" s="503">
        <f>'Nacionalidad-Zona (datos)'!C15/'Nacionalidad-Zona (datos)'!C$31</f>
        <v>1.5667742634009992E-2</v>
      </c>
      <c r="D15" s="503">
        <f>'Nacionalidad-Zona (datos)'!D15/'Nacionalidad-Zona (datos)'!D$31</f>
        <v>2.5642130667126359E-3</v>
      </c>
      <c r="E15" s="503">
        <f>'Nacionalidad-Zona (datos)'!E15/'Nacionalidad-Zona (datos)'!E$31</f>
        <v>2.2745946571120839E-3</v>
      </c>
      <c r="F15" s="503">
        <f>'Nacionalidad-Zona (datos)'!F15/'Nacionalidad-Zona (datos)'!F$31</f>
        <v>1.6004160693503411E-2</v>
      </c>
      <c r="G15" s="503">
        <f>'Nacionalidad-Zona (datos)'!G15/'Nacionalidad-Zona (datos)'!G$31</f>
        <v>2.8406862415676862E-2</v>
      </c>
    </row>
    <row r="16" spans="2:10">
      <c r="B16" s="487" t="s">
        <v>167</v>
      </c>
      <c r="C16" s="503">
        <f>'Nacionalidad-Zona (datos)'!C16/'Nacionalidad-Zona (datos)'!C$31</f>
        <v>1.8037063935885892E-2</v>
      </c>
      <c r="D16" s="503">
        <f>'Nacionalidad-Zona (datos)'!D16/'Nacionalidad-Zona (datos)'!D$31</f>
        <v>1.6085588691604896E-2</v>
      </c>
      <c r="E16" s="503">
        <f>'Nacionalidad-Zona (datos)'!E16/'Nacionalidad-Zona (datos)'!E$31</f>
        <v>6.6334312404974227E-3</v>
      </c>
      <c r="F16" s="503">
        <f>'Nacionalidad-Zona (datos)'!F16/'Nacionalidad-Zona (datos)'!F$31</f>
        <v>2.4134474594940343E-2</v>
      </c>
      <c r="G16" s="503">
        <f>'Nacionalidad-Zona (datos)'!G16/'Nacionalidad-Zona (datos)'!G$31</f>
        <v>2.0868028869944735E-2</v>
      </c>
    </row>
    <row r="17" spans="2:11">
      <c r="B17" s="487" t="s">
        <v>168</v>
      </c>
      <c r="C17" s="503">
        <f>'Nacionalidad-Zona (datos)'!C17/'Nacionalidad-Zona (datos)'!C$31</f>
        <v>7.73044397119073E-2</v>
      </c>
      <c r="D17" s="503">
        <f>'Nacionalidad-Zona (datos)'!D17/'Nacionalidad-Zona (datos)'!D$31</f>
        <v>9.8797621099810384E-3</v>
      </c>
      <c r="E17" s="503">
        <f>'Nacionalidad-Zona (datos)'!E17/'Nacionalidad-Zona (datos)'!E$31</f>
        <v>5.8710565058467203E-2</v>
      </c>
      <c r="F17" s="503">
        <f>'Nacionalidad-Zona (datos)'!F17/'Nacionalidad-Zona (datos)'!F$31</f>
        <v>6.4963834050453514E-2</v>
      </c>
      <c r="G17" s="503">
        <f>'Nacionalidad-Zona (datos)'!G17/'Nacionalidad-Zona (datos)'!G$31</f>
        <v>0.13433541577827765</v>
      </c>
    </row>
    <row r="18" spans="2:11">
      <c r="B18" s="489" t="s">
        <v>169</v>
      </c>
      <c r="C18" s="503">
        <f>'Nacionalidad-Zona (datos)'!C18/'Nacionalidad-Zona (datos)'!C$31</f>
        <v>2.3800580798230636E-2</v>
      </c>
      <c r="D18" s="503">
        <f>'Nacionalidad-Zona (datos)'!D18/'Nacionalidad-Zona (datos)'!D$31</f>
        <v>2.7365971384244094E-3</v>
      </c>
      <c r="E18" s="503">
        <f>'Nacionalidad-Zona (datos)'!E18/'Nacionalidad-Zona (datos)'!E$31</f>
        <v>1.3230719557417853E-2</v>
      </c>
      <c r="F18" s="503">
        <f>'Nacionalidad-Zona (datos)'!F18/'Nacionalidad-Zona (datos)'!F$31</f>
        <v>2.2094999095723537E-2</v>
      </c>
      <c r="G18" s="503">
        <f>'Nacionalidad-Zona (datos)'!G18/'Nacionalidad-Zona (datos)'!G$31</f>
        <v>4.0482436472803383E-2</v>
      </c>
    </row>
    <row r="19" spans="2:11">
      <c r="B19" s="489" t="s">
        <v>170</v>
      </c>
      <c r="C19" s="503">
        <f>'Nacionalidad-Zona (datos)'!C19/'Nacionalidad-Zona (datos)'!C$31</f>
        <v>1.6113481597271051E-2</v>
      </c>
      <c r="D19" s="503">
        <f>'Nacionalidad-Zona (datos)'!D19/'Nacionalidad-Zona (datos)'!D$31</f>
        <v>1.8423547664195828E-3</v>
      </c>
      <c r="E19" s="503">
        <f>'Nacionalidad-Zona (datos)'!E19/'Nacionalidad-Zona (datos)'!E$31</f>
        <v>5.7852773005573239E-3</v>
      </c>
      <c r="F19" s="503">
        <f>'Nacionalidad-Zona (datos)'!F19/'Nacionalidad-Zona (datos)'!F$31</f>
        <v>1.2132631301453076E-2</v>
      </c>
      <c r="G19" s="503">
        <f>'Nacionalidad-Zona (datos)'!G19/'Nacionalidad-Zona (datos)'!G$31</f>
        <v>3.3952853576791633E-2</v>
      </c>
    </row>
    <row r="20" spans="2:11">
      <c r="B20" s="489" t="s">
        <v>171</v>
      </c>
      <c r="C20" s="503">
        <f>'Nacionalidad-Zona (datos)'!C20/'Nacionalidad-Zona (datos)'!C$31</f>
        <v>1.7155708224263454E-2</v>
      </c>
      <c r="D20" s="503">
        <f>'Nacionalidad-Zona (datos)'!D20/'Nacionalidad-Zona (datos)'!D$31</f>
        <v>2.2517669367350455E-3</v>
      </c>
      <c r="E20" s="503">
        <f>'Nacionalidad-Zona (datos)'!E20/'Nacionalidad-Zona (datos)'!E$31</f>
        <v>8.0984244094848678E-3</v>
      </c>
      <c r="F20" s="503">
        <f>'Nacionalidad-Zona (datos)'!F20/'Nacionalidad-Zona (datos)'!F$31</f>
        <v>1.8190772701681748E-2</v>
      </c>
      <c r="G20" s="503">
        <f>'Nacionalidad-Zona (datos)'!G20/'Nacionalidad-Zona (datos)'!G$31</f>
        <v>2.7406164737564284E-2</v>
      </c>
    </row>
    <row r="21" spans="2:11">
      <c r="B21" s="489" t="s">
        <v>172</v>
      </c>
      <c r="C21" s="503">
        <f>'Nacionalidad-Zona (datos)'!C21/'Nacionalidad-Zona (datos)'!C$31</f>
        <v>2.0234669092142162E-2</v>
      </c>
      <c r="D21" s="503">
        <f>'Nacionalidad-Zona (datos)'!D21/'Nacionalidad-Zona (datos)'!D$31</f>
        <v>3.0490432684019998E-3</v>
      </c>
      <c r="E21" s="503">
        <f>'Nacionalidad-Zona (datos)'!E21/'Nacionalidad-Zona (datos)'!E$31</f>
        <v>3.1596143791007156E-2</v>
      </c>
      <c r="F21" s="503">
        <f>'Nacionalidad-Zona (datos)'!F21/'Nacionalidad-Zona (datos)'!F$31</f>
        <v>1.2545430951595153E-2</v>
      </c>
      <c r="G21" s="503">
        <f>'Nacionalidad-Zona (datos)'!G21/'Nacionalidad-Zona (datos)'!G$31</f>
        <v>3.2493960991118349E-2</v>
      </c>
    </row>
    <row r="22" spans="2:11">
      <c r="B22" s="487" t="s">
        <v>173</v>
      </c>
      <c r="C22" s="503">
        <f>'Nacionalidad-Zona (datos)'!C22/'Nacionalidad-Zona (datos)'!C$31</f>
        <v>6.2208240712054441E-3</v>
      </c>
      <c r="D22" s="503">
        <f>'Nacionalidad-Zona (datos)'!D22/'Nacionalidad-Zona (datos)'!D$31</f>
        <v>3.3291673849336323E-3</v>
      </c>
      <c r="E22" s="503">
        <f>'Nacionalidad-Zona (datos)'!E22/'Nacionalidad-Zona (datos)'!E$31</f>
        <v>3.5926066035530902E-3</v>
      </c>
      <c r="F22" s="503">
        <f>'Nacionalidad-Zona (datos)'!F22/'Nacionalidad-Zona (datos)'!F$31</f>
        <v>7.4978312691647859E-3</v>
      </c>
      <c r="G22" s="503">
        <f>'Nacionalidad-Zona (datos)'!G22/'Nacionalidad-Zona (datos)'!G$31</f>
        <v>7.015880424569511E-3</v>
      </c>
    </row>
    <row r="23" spans="2:11">
      <c r="B23" s="487" t="s">
        <v>174</v>
      </c>
      <c r="C23" s="503">
        <f>'Nacionalidad-Zona (datos)'!C23/'Nacionalidad-Zona (datos)'!C$31</f>
        <v>6.2063637642058959E-3</v>
      </c>
      <c r="D23" s="503">
        <f>'Nacionalidad-Zona (datos)'!D23/'Nacionalidad-Zona (datos)'!D$31</f>
        <v>2.1655749008791586E-3</v>
      </c>
      <c r="E23" s="503">
        <f>'Nacionalidad-Zona (datos)'!E23/'Nacionalidad-Zona (datos)'!E$31</f>
        <v>5.5298673072799081E-3</v>
      </c>
      <c r="F23" s="503">
        <f>'Nacionalidad-Zona (datos)'!F23/'Nacionalidad-Zona (datos)'!F$31</f>
        <v>8.2059257185421626E-3</v>
      </c>
      <c r="G23" s="503">
        <f>'Nacionalidad-Zona (datos)'!G23/'Nacionalidad-Zona (datos)'!G$31</f>
        <v>5.9492026797681903E-3</v>
      </c>
    </row>
    <row r="24" spans="2:11">
      <c r="B24" s="487" t="s">
        <v>175</v>
      </c>
      <c r="C24" s="503">
        <f>'Nacionalidad-Zona (datos)'!C24/'Nacionalidad-Zona (datos)'!C$31</f>
        <v>1.5906337699502528E-2</v>
      </c>
      <c r="D24" s="503">
        <f>'Nacionalidad-Zona (datos)'!D24/'Nacionalidad-Zona (datos)'!D$31</f>
        <v>2.6611791070505087E-3</v>
      </c>
      <c r="E24" s="503">
        <f>'Nacionalidad-Zona (datos)'!E24/'Nacionalidad-Zona (datos)'!E$31</f>
        <v>1.9878607967346073E-3</v>
      </c>
      <c r="F24" s="503">
        <f>'Nacionalidad-Zona (datos)'!F24/'Nacionalidad-Zona (datos)'!F$31</f>
        <v>2.8232839438306376E-2</v>
      </c>
      <c r="G24" s="503">
        <f>'Nacionalidad-Zona (datos)'!G24/'Nacionalidad-Zona (datos)'!G$31</f>
        <v>1.2388368447354628E-2</v>
      </c>
    </row>
    <row r="25" spans="2:11">
      <c r="B25" s="487" t="s">
        <v>176</v>
      </c>
      <c r="C25" s="503">
        <f>'Nacionalidad-Zona (datos)'!C25/'Nacionalidad-Zona (datos)'!C$31</f>
        <v>1.6067931630222475E-2</v>
      </c>
      <c r="D25" s="503">
        <f>'Nacionalidad-Zona (datos)'!D25/'Nacionalidad-Zona (datos)'!D$31</f>
        <v>5.0422340975693845E-3</v>
      </c>
      <c r="E25" s="503">
        <f>'Nacionalidad-Zona (datos)'!E25/'Nacionalidad-Zona (datos)'!E$31</f>
        <v>2.9998626568904074E-3</v>
      </c>
      <c r="F25" s="503">
        <f>'Nacionalidad-Zona (datos)'!F25/'Nacionalidad-Zona (datos)'!F$31</f>
        <v>2.734695504060048E-2</v>
      </c>
      <c r="G25" s="503">
        <f>'Nacionalidad-Zona (datos)'!G25/'Nacionalidad-Zona (datos)'!G$31</f>
        <v>1.4466740548049984E-2</v>
      </c>
    </row>
    <row r="26" spans="2:11">
      <c r="B26" s="487" t="s">
        <v>177</v>
      </c>
      <c r="C26" s="503">
        <f>'Nacionalidad-Zona (datos)'!C26/'Nacionalidad-Zona (datos)'!C$31</f>
        <v>1.7449613964029262E-2</v>
      </c>
      <c r="D26" s="503">
        <f>'Nacionalidad-Zona (datos)'!D26/'Nacionalidad-Zona (datos)'!D$31</f>
        <v>1.060162041027409E-2</v>
      </c>
      <c r="E26" s="503">
        <f>'Nacionalidad-Zona (datos)'!E26/'Nacionalidad-Zona (datos)'!E$31</f>
        <v>1.0283866521773702E-2</v>
      </c>
      <c r="F26" s="503">
        <f>'Nacionalidad-Zona (datos)'!F26/'Nacionalidad-Zona (datos)'!F$31</f>
        <v>2.426934972815508E-2</v>
      </c>
      <c r="G26" s="503">
        <f>'Nacionalidad-Zona (datos)'!G26/'Nacionalidad-Zona (datos)'!G$31</f>
        <v>1.5379464803910907E-2</v>
      </c>
    </row>
    <row r="27" spans="2:11">
      <c r="B27" s="487" t="s">
        <v>178</v>
      </c>
      <c r="C27" s="503">
        <f>'Nacionalidad-Zona (datos)'!C27/'Nacionalidad-Zona (datos)'!C$31</f>
        <v>2.8421733407611111E-3</v>
      </c>
      <c r="D27" s="503">
        <f>'Nacionalidad-Zona (datos)'!D27/'Nacionalidad-Zona (datos)'!D$31</f>
        <v>8.4683675228408896E-3</v>
      </c>
      <c r="E27" s="503">
        <f>'Nacionalidad-Zona (datos)'!E27/'Nacionalidad-Zona (datos)'!E$31</f>
        <v>3.1685296335830409E-3</v>
      </c>
      <c r="F27" s="503">
        <f>'Nacionalidad-Zona (datos)'!F27/'Nacionalidad-Zona (datos)'!F$31</f>
        <v>1.9618201194871068E-3</v>
      </c>
      <c r="G27" s="503">
        <f>'Nacionalidad-Zona (datos)'!G27/'Nacionalidad-Zona (datos)'!G$31</f>
        <v>2.1003654562582706E-3</v>
      </c>
    </row>
    <row r="28" spans="2:11">
      <c r="B28" s="487" t="s">
        <v>179</v>
      </c>
      <c r="C28" s="503">
        <f>'Nacionalidad-Zona (datos)'!C28/'Nacionalidad-Zona (datos)'!C$31</f>
        <v>4.0047820235247509E-3</v>
      </c>
      <c r="D28" s="503">
        <f>'Nacionalidad-Zona (datos)'!D28/'Nacionalidad-Zona (datos)'!D$31</f>
        <v>2.9531546285123254E-2</v>
      </c>
      <c r="E28" s="503">
        <f>'Nacionalidad-Zona (datos)'!E28/'Nacionalidad-Zona (datos)'!E$31</f>
        <v>6.4888595461894518E-3</v>
      </c>
      <c r="F28" s="503">
        <f>'Nacionalidad-Zona (datos)'!F28/'Nacionalidad-Zona (datos)'!F$31</f>
        <v>1.7186361671756841E-3</v>
      </c>
      <c r="G28" s="503">
        <f>'Nacionalidad-Zona (datos)'!G28/'Nacionalidad-Zona (datos)'!G$31</f>
        <v>2.392388344010293E-3</v>
      </c>
    </row>
    <row r="29" spans="2:11" ht="12.75">
      <c r="B29" s="277" t="s">
        <v>180</v>
      </c>
      <c r="C29" s="503">
        <f>'Nacionalidad-Zona (datos)'!C29/'Nacionalidad-Zona (datos)'!C$31</f>
        <v>1.2661083301129025E-2</v>
      </c>
      <c r="D29" s="503">
        <f>'Nacionalidad-Zona (datos)'!D29/'Nacionalidad-Zona (datos)'!D$31</f>
        <v>2.3196431649715566E-2</v>
      </c>
      <c r="E29" s="503">
        <f>'Nacionalidad-Zona (datos)'!E29/'Nacionalidad-Zona (datos)'!E$31</f>
        <v>6.6237931275435584E-3</v>
      </c>
      <c r="F29" s="503">
        <f>'Nacionalidad-Zona (datos)'!F29/'Nacionalidad-Zona (datos)'!F$31</f>
        <v>6.9317644221877769E-3</v>
      </c>
      <c r="G29" s="503">
        <f>'Nacionalidad-Zona (datos)'!G29/'Nacionalidad-Zona (datos)'!G$31</f>
        <v>9.165120004300923E-3</v>
      </c>
    </row>
    <row r="30" spans="2:11" s="491" customFormat="1" ht="12.75">
      <c r="B30" s="288" t="s">
        <v>335</v>
      </c>
      <c r="C30" s="504">
        <f>'Nacionalidad-Zona (datos)'!C30/'Nacionalidad-Zona (datos)'!C$31</f>
        <v>0.69244843002639367</v>
      </c>
      <c r="D30" s="504">
        <f>'Nacionalidad-Zona (datos)'!D30/'Nacionalidad-Zona (datos)'!D$31</f>
        <v>0.17715695569729356</v>
      </c>
      <c r="E30" s="504">
        <f>'Nacionalidad-Zona (datos)'!E30/'Nacionalidad-Zona (datos)'!E$31</f>
        <v>0.37991513641544122</v>
      </c>
      <c r="F30" s="504">
        <f>'Nacionalidad-Zona (datos)'!F30/'Nacionalidad-Zona (datos)'!F$31</f>
        <v>0.77774417252573103</v>
      </c>
      <c r="G30" s="504">
        <f>'Nacionalidad-Zona (datos)'!G30/'Nacionalidad-Zona (datos)'!G$31</f>
        <v>0.83115700934351056</v>
      </c>
    </row>
    <row r="31" spans="2:11">
      <c r="B31" s="505" t="s">
        <v>107</v>
      </c>
      <c r="C31" s="506">
        <f>'Nacionalidad-Zona (datos)'!C31/'Nacionalidad-Zona (datos)'!C$31</f>
        <v>1</v>
      </c>
      <c r="D31" s="506">
        <f>'Nacionalidad-Zona (datos)'!D31/'Nacionalidad-Zona (datos)'!D$31</f>
        <v>1</v>
      </c>
      <c r="E31" s="506">
        <f>'Nacionalidad-Zona (datos)'!E31/'Nacionalidad-Zona (datos)'!E$31</f>
        <v>1</v>
      </c>
      <c r="F31" s="506">
        <f>'Nacionalidad-Zona (datos)'!F31/'Nacionalidad-Zona (datos)'!F$31</f>
        <v>1</v>
      </c>
      <c r="G31" s="506">
        <f>'Nacionalidad-Zona (datos)'!G31/'Nacionalidad-Zona (datos)'!G$31</f>
        <v>1</v>
      </c>
      <c r="H31" s="494"/>
      <c r="I31" s="494"/>
      <c r="J31" s="494"/>
      <c r="K31" s="494"/>
    </row>
    <row r="32" spans="2:11" ht="25.5" customHeight="1">
      <c r="B32" s="283" t="s">
        <v>338</v>
      </c>
      <c r="C32" s="495"/>
      <c r="D32" s="495"/>
      <c r="E32" s="495"/>
      <c r="F32" s="495"/>
      <c r="G32" s="496"/>
    </row>
    <row r="33" ht="14.25" customHeight="1"/>
    <row r="34" ht="35.25" customHeight="1"/>
  </sheetData>
  <mergeCells count="3">
    <mergeCell ref="B6:G6"/>
    <mergeCell ref="B7:G7"/>
    <mergeCell ref="B32:G3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92.xml><?xml version="1.0" encoding="utf-8"?>
<worksheet xmlns="http://schemas.openxmlformats.org/spreadsheetml/2006/main" xmlns:r="http://schemas.openxmlformats.org/officeDocument/2006/relationships">
  <sheetPr codeName="Hoja38">
    <tabColor theme="4" tint="-0.499984740745262"/>
    <pageSetUpPr autoPageBreaks="0" fitToPage="1"/>
  </sheetPr>
  <dimension ref="C7:J75"/>
  <sheetViews>
    <sheetView showGridLines="0" showRowColHeaders="0" showOutlineSymbols="0" zoomScaleNormal="100" workbookViewId="0">
      <selection activeCell="B25" sqref="B25"/>
    </sheetView>
  </sheetViews>
  <sheetFormatPr baseColWidth="10" defaultRowHeight="12.75"/>
  <cols>
    <col min="1" max="3" width="11.42578125" style="2"/>
    <col min="4" max="4" width="9.140625" style="2" customWidth="1"/>
    <col min="5" max="5" width="12" style="2" customWidth="1"/>
    <col min="6" max="6" width="43.5703125" style="2" customWidth="1"/>
    <col min="7" max="259" width="11.42578125" style="2"/>
    <col min="260" max="260" width="9.140625" style="2" customWidth="1"/>
    <col min="261" max="261" width="12" style="2" customWidth="1"/>
    <col min="262" max="262" width="43.5703125" style="2" customWidth="1"/>
    <col min="263" max="515" width="11.42578125" style="2"/>
    <col min="516" max="516" width="9.140625" style="2" customWidth="1"/>
    <col min="517" max="517" width="12" style="2" customWidth="1"/>
    <col min="518" max="518" width="43.5703125" style="2" customWidth="1"/>
    <col min="519" max="771" width="11.42578125" style="2"/>
    <col min="772" max="772" width="9.140625" style="2" customWidth="1"/>
    <col min="773" max="773" width="12" style="2" customWidth="1"/>
    <col min="774" max="774" width="43.5703125" style="2" customWidth="1"/>
    <col min="775" max="1027" width="11.42578125" style="2"/>
    <col min="1028" max="1028" width="9.140625" style="2" customWidth="1"/>
    <col min="1029" max="1029" width="12" style="2" customWidth="1"/>
    <col min="1030" max="1030" width="43.5703125" style="2" customWidth="1"/>
    <col min="1031" max="1283" width="11.42578125" style="2"/>
    <col min="1284" max="1284" width="9.140625" style="2" customWidth="1"/>
    <col min="1285" max="1285" width="12" style="2" customWidth="1"/>
    <col min="1286" max="1286" width="43.5703125" style="2" customWidth="1"/>
    <col min="1287" max="1539" width="11.42578125" style="2"/>
    <col min="1540" max="1540" width="9.140625" style="2" customWidth="1"/>
    <col min="1541" max="1541" width="12" style="2" customWidth="1"/>
    <col min="1542" max="1542" width="43.5703125" style="2" customWidth="1"/>
    <col min="1543" max="1795" width="11.42578125" style="2"/>
    <col min="1796" max="1796" width="9.140625" style="2" customWidth="1"/>
    <col min="1797" max="1797" width="12" style="2" customWidth="1"/>
    <col min="1798" max="1798" width="43.5703125" style="2" customWidth="1"/>
    <col min="1799" max="2051" width="11.42578125" style="2"/>
    <col min="2052" max="2052" width="9.140625" style="2" customWidth="1"/>
    <col min="2053" max="2053" width="12" style="2" customWidth="1"/>
    <col min="2054" max="2054" width="43.5703125" style="2" customWidth="1"/>
    <col min="2055" max="2307" width="11.42578125" style="2"/>
    <col min="2308" max="2308" width="9.140625" style="2" customWidth="1"/>
    <col min="2309" max="2309" width="12" style="2" customWidth="1"/>
    <col min="2310" max="2310" width="43.5703125" style="2" customWidth="1"/>
    <col min="2311" max="2563" width="11.42578125" style="2"/>
    <col min="2564" max="2564" width="9.140625" style="2" customWidth="1"/>
    <col min="2565" max="2565" width="12" style="2" customWidth="1"/>
    <col min="2566" max="2566" width="43.5703125" style="2" customWidth="1"/>
    <col min="2567" max="2819" width="11.42578125" style="2"/>
    <col min="2820" max="2820" width="9.140625" style="2" customWidth="1"/>
    <col min="2821" max="2821" width="12" style="2" customWidth="1"/>
    <col min="2822" max="2822" width="43.5703125" style="2" customWidth="1"/>
    <col min="2823" max="3075" width="11.42578125" style="2"/>
    <col min="3076" max="3076" width="9.140625" style="2" customWidth="1"/>
    <col min="3077" max="3077" width="12" style="2" customWidth="1"/>
    <col min="3078" max="3078" width="43.5703125" style="2" customWidth="1"/>
    <col min="3079" max="3331" width="11.42578125" style="2"/>
    <col min="3332" max="3332" width="9.140625" style="2" customWidth="1"/>
    <col min="3333" max="3333" width="12" style="2" customWidth="1"/>
    <col min="3334" max="3334" width="43.5703125" style="2" customWidth="1"/>
    <col min="3335" max="3587" width="11.42578125" style="2"/>
    <col min="3588" max="3588" width="9.140625" style="2" customWidth="1"/>
    <col min="3589" max="3589" width="12" style="2" customWidth="1"/>
    <col min="3590" max="3590" width="43.5703125" style="2" customWidth="1"/>
    <col min="3591" max="3843" width="11.42578125" style="2"/>
    <col min="3844" max="3844" width="9.140625" style="2" customWidth="1"/>
    <col min="3845" max="3845" width="12" style="2" customWidth="1"/>
    <col min="3846" max="3846" width="43.5703125" style="2" customWidth="1"/>
    <col min="3847" max="4099" width="11.42578125" style="2"/>
    <col min="4100" max="4100" width="9.140625" style="2" customWidth="1"/>
    <col min="4101" max="4101" width="12" style="2" customWidth="1"/>
    <col min="4102" max="4102" width="43.5703125" style="2" customWidth="1"/>
    <col min="4103" max="4355" width="11.42578125" style="2"/>
    <col min="4356" max="4356" width="9.140625" style="2" customWidth="1"/>
    <col min="4357" max="4357" width="12" style="2" customWidth="1"/>
    <col min="4358" max="4358" width="43.5703125" style="2" customWidth="1"/>
    <col min="4359" max="4611" width="11.42578125" style="2"/>
    <col min="4612" max="4612" width="9.140625" style="2" customWidth="1"/>
    <col min="4613" max="4613" width="12" style="2" customWidth="1"/>
    <col min="4614" max="4614" width="43.5703125" style="2" customWidth="1"/>
    <col min="4615" max="4867" width="11.42578125" style="2"/>
    <col min="4868" max="4868" width="9.140625" style="2" customWidth="1"/>
    <col min="4869" max="4869" width="12" style="2" customWidth="1"/>
    <col min="4870" max="4870" width="43.5703125" style="2" customWidth="1"/>
    <col min="4871" max="5123" width="11.42578125" style="2"/>
    <col min="5124" max="5124" width="9.140625" style="2" customWidth="1"/>
    <col min="5125" max="5125" width="12" style="2" customWidth="1"/>
    <col min="5126" max="5126" width="43.5703125" style="2" customWidth="1"/>
    <col min="5127" max="5379" width="11.42578125" style="2"/>
    <col min="5380" max="5380" width="9.140625" style="2" customWidth="1"/>
    <col min="5381" max="5381" width="12" style="2" customWidth="1"/>
    <col min="5382" max="5382" width="43.5703125" style="2" customWidth="1"/>
    <col min="5383" max="5635" width="11.42578125" style="2"/>
    <col min="5636" max="5636" width="9.140625" style="2" customWidth="1"/>
    <col min="5637" max="5637" width="12" style="2" customWidth="1"/>
    <col min="5638" max="5638" width="43.5703125" style="2" customWidth="1"/>
    <col min="5639" max="5891" width="11.42578125" style="2"/>
    <col min="5892" max="5892" width="9.140625" style="2" customWidth="1"/>
    <col min="5893" max="5893" width="12" style="2" customWidth="1"/>
    <col min="5894" max="5894" width="43.5703125" style="2" customWidth="1"/>
    <col min="5895" max="6147" width="11.42578125" style="2"/>
    <col min="6148" max="6148" width="9.140625" style="2" customWidth="1"/>
    <col min="6149" max="6149" width="12" style="2" customWidth="1"/>
    <col min="6150" max="6150" width="43.5703125" style="2" customWidth="1"/>
    <col min="6151" max="6403" width="11.42578125" style="2"/>
    <col min="6404" max="6404" width="9.140625" style="2" customWidth="1"/>
    <col min="6405" max="6405" width="12" style="2" customWidth="1"/>
    <col min="6406" max="6406" width="43.5703125" style="2" customWidth="1"/>
    <col min="6407" max="6659" width="11.42578125" style="2"/>
    <col min="6660" max="6660" width="9.140625" style="2" customWidth="1"/>
    <col min="6661" max="6661" width="12" style="2" customWidth="1"/>
    <col min="6662" max="6662" width="43.5703125" style="2" customWidth="1"/>
    <col min="6663" max="6915" width="11.42578125" style="2"/>
    <col min="6916" max="6916" width="9.140625" style="2" customWidth="1"/>
    <col min="6917" max="6917" width="12" style="2" customWidth="1"/>
    <col min="6918" max="6918" width="43.5703125" style="2" customWidth="1"/>
    <col min="6919" max="7171" width="11.42578125" style="2"/>
    <col min="7172" max="7172" width="9.140625" style="2" customWidth="1"/>
    <col min="7173" max="7173" width="12" style="2" customWidth="1"/>
    <col min="7174" max="7174" width="43.5703125" style="2" customWidth="1"/>
    <col min="7175" max="7427" width="11.42578125" style="2"/>
    <col min="7428" max="7428" width="9.140625" style="2" customWidth="1"/>
    <col min="7429" max="7429" width="12" style="2" customWidth="1"/>
    <col min="7430" max="7430" width="43.5703125" style="2" customWidth="1"/>
    <col min="7431" max="7683" width="11.42578125" style="2"/>
    <col min="7684" max="7684" width="9.140625" style="2" customWidth="1"/>
    <col min="7685" max="7685" width="12" style="2" customWidth="1"/>
    <col min="7686" max="7686" width="43.5703125" style="2" customWidth="1"/>
    <col min="7687" max="7939" width="11.42578125" style="2"/>
    <col min="7940" max="7940" width="9.140625" style="2" customWidth="1"/>
    <col min="7941" max="7941" width="12" style="2" customWidth="1"/>
    <col min="7942" max="7942" width="43.5703125" style="2" customWidth="1"/>
    <col min="7943" max="8195" width="11.42578125" style="2"/>
    <col min="8196" max="8196" width="9.140625" style="2" customWidth="1"/>
    <col min="8197" max="8197" width="12" style="2" customWidth="1"/>
    <col min="8198" max="8198" width="43.5703125" style="2" customWidth="1"/>
    <col min="8199" max="8451" width="11.42578125" style="2"/>
    <col min="8452" max="8452" width="9.140625" style="2" customWidth="1"/>
    <col min="8453" max="8453" width="12" style="2" customWidth="1"/>
    <col min="8454" max="8454" width="43.5703125" style="2" customWidth="1"/>
    <col min="8455" max="8707" width="11.42578125" style="2"/>
    <col min="8708" max="8708" width="9.140625" style="2" customWidth="1"/>
    <col min="8709" max="8709" width="12" style="2" customWidth="1"/>
    <col min="8710" max="8710" width="43.5703125" style="2" customWidth="1"/>
    <col min="8711" max="8963" width="11.42578125" style="2"/>
    <col min="8964" max="8964" width="9.140625" style="2" customWidth="1"/>
    <col min="8965" max="8965" width="12" style="2" customWidth="1"/>
    <col min="8966" max="8966" width="43.5703125" style="2" customWidth="1"/>
    <col min="8967" max="9219" width="11.42578125" style="2"/>
    <col min="9220" max="9220" width="9.140625" style="2" customWidth="1"/>
    <col min="9221" max="9221" width="12" style="2" customWidth="1"/>
    <col min="9222" max="9222" width="43.5703125" style="2" customWidth="1"/>
    <col min="9223" max="9475" width="11.42578125" style="2"/>
    <col min="9476" max="9476" width="9.140625" style="2" customWidth="1"/>
    <col min="9477" max="9477" width="12" style="2" customWidth="1"/>
    <col min="9478" max="9478" width="43.5703125" style="2" customWidth="1"/>
    <col min="9479" max="9731" width="11.42578125" style="2"/>
    <col min="9732" max="9732" width="9.140625" style="2" customWidth="1"/>
    <col min="9733" max="9733" width="12" style="2" customWidth="1"/>
    <col min="9734" max="9734" width="43.5703125" style="2" customWidth="1"/>
    <col min="9735" max="9987" width="11.42578125" style="2"/>
    <col min="9988" max="9988" width="9.140625" style="2" customWidth="1"/>
    <col min="9989" max="9989" width="12" style="2" customWidth="1"/>
    <col min="9990" max="9990" width="43.5703125" style="2" customWidth="1"/>
    <col min="9991" max="10243" width="11.42578125" style="2"/>
    <col min="10244" max="10244" width="9.140625" style="2" customWidth="1"/>
    <col min="10245" max="10245" width="12" style="2" customWidth="1"/>
    <col min="10246" max="10246" width="43.5703125" style="2" customWidth="1"/>
    <col min="10247" max="10499" width="11.42578125" style="2"/>
    <col min="10500" max="10500" width="9.140625" style="2" customWidth="1"/>
    <col min="10501" max="10501" width="12" style="2" customWidth="1"/>
    <col min="10502" max="10502" width="43.5703125" style="2" customWidth="1"/>
    <col min="10503" max="10755" width="11.42578125" style="2"/>
    <col min="10756" max="10756" width="9.140625" style="2" customWidth="1"/>
    <col min="10757" max="10757" width="12" style="2" customWidth="1"/>
    <col min="10758" max="10758" width="43.5703125" style="2" customWidth="1"/>
    <col min="10759" max="11011" width="11.42578125" style="2"/>
    <col min="11012" max="11012" width="9.140625" style="2" customWidth="1"/>
    <col min="11013" max="11013" width="12" style="2" customWidth="1"/>
    <col min="11014" max="11014" width="43.5703125" style="2" customWidth="1"/>
    <col min="11015" max="11267" width="11.42578125" style="2"/>
    <col min="11268" max="11268" width="9.140625" style="2" customWidth="1"/>
    <col min="11269" max="11269" width="12" style="2" customWidth="1"/>
    <col min="11270" max="11270" width="43.5703125" style="2" customWidth="1"/>
    <col min="11271" max="11523" width="11.42578125" style="2"/>
    <col min="11524" max="11524" width="9.140625" style="2" customWidth="1"/>
    <col min="11525" max="11525" width="12" style="2" customWidth="1"/>
    <col min="11526" max="11526" width="43.5703125" style="2" customWidth="1"/>
    <col min="11527" max="11779" width="11.42578125" style="2"/>
    <col min="11780" max="11780" width="9.140625" style="2" customWidth="1"/>
    <col min="11781" max="11781" width="12" style="2" customWidth="1"/>
    <col min="11782" max="11782" width="43.5703125" style="2" customWidth="1"/>
    <col min="11783" max="12035" width="11.42578125" style="2"/>
    <col min="12036" max="12036" width="9.140625" style="2" customWidth="1"/>
    <col min="12037" max="12037" width="12" style="2" customWidth="1"/>
    <col min="12038" max="12038" width="43.5703125" style="2" customWidth="1"/>
    <col min="12039" max="12291" width="11.42578125" style="2"/>
    <col min="12292" max="12292" width="9.140625" style="2" customWidth="1"/>
    <col min="12293" max="12293" width="12" style="2" customWidth="1"/>
    <col min="12294" max="12294" width="43.5703125" style="2" customWidth="1"/>
    <col min="12295" max="12547" width="11.42578125" style="2"/>
    <col min="12548" max="12548" width="9.140625" style="2" customWidth="1"/>
    <col min="12549" max="12549" width="12" style="2" customWidth="1"/>
    <col min="12550" max="12550" width="43.5703125" style="2" customWidth="1"/>
    <col min="12551" max="12803" width="11.42578125" style="2"/>
    <col min="12804" max="12804" width="9.140625" style="2" customWidth="1"/>
    <col min="12805" max="12805" width="12" style="2" customWidth="1"/>
    <col min="12806" max="12806" width="43.5703125" style="2" customWidth="1"/>
    <col min="12807" max="13059" width="11.42578125" style="2"/>
    <col min="13060" max="13060" width="9.140625" style="2" customWidth="1"/>
    <col min="13061" max="13061" width="12" style="2" customWidth="1"/>
    <col min="13062" max="13062" width="43.5703125" style="2" customWidth="1"/>
    <col min="13063" max="13315" width="11.42578125" style="2"/>
    <col min="13316" max="13316" width="9.140625" style="2" customWidth="1"/>
    <col min="13317" max="13317" width="12" style="2" customWidth="1"/>
    <col min="13318" max="13318" width="43.5703125" style="2" customWidth="1"/>
    <col min="13319" max="13571" width="11.42578125" style="2"/>
    <col min="13572" max="13572" width="9.140625" style="2" customWidth="1"/>
    <col min="13573" max="13573" width="12" style="2" customWidth="1"/>
    <col min="13574" max="13574" width="43.5703125" style="2" customWidth="1"/>
    <col min="13575" max="13827" width="11.42578125" style="2"/>
    <col min="13828" max="13828" width="9.140625" style="2" customWidth="1"/>
    <col min="13829" max="13829" width="12" style="2" customWidth="1"/>
    <col min="13830" max="13830" width="43.5703125" style="2" customWidth="1"/>
    <col min="13831" max="14083" width="11.42578125" style="2"/>
    <col min="14084" max="14084" width="9.140625" style="2" customWidth="1"/>
    <col min="14085" max="14085" width="12" style="2" customWidth="1"/>
    <col min="14086" max="14086" width="43.5703125" style="2" customWidth="1"/>
    <col min="14087" max="14339" width="11.42578125" style="2"/>
    <col min="14340" max="14340" width="9.140625" style="2" customWidth="1"/>
    <col min="14341" max="14341" width="12" style="2" customWidth="1"/>
    <col min="14342" max="14342" width="43.5703125" style="2" customWidth="1"/>
    <col min="14343" max="14595" width="11.42578125" style="2"/>
    <col min="14596" max="14596" width="9.140625" style="2" customWidth="1"/>
    <col min="14597" max="14597" width="12" style="2" customWidth="1"/>
    <col min="14598" max="14598" width="43.5703125" style="2" customWidth="1"/>
    <col min="14599" max="14851" width="11.42578125" style="2"/>
    <col min="14852" max="14852" width="9.140625" style="2" customWidth="1"/>
    <col min="14853" max="14853" width="12" style="2" customWidth="1"/>
    <col min="14854" max="14854" width="43.5703125" style="2" customWidth="1"/>
    <col min="14855" max="15107" width="11.42578125" style="2"/>
    <col min="15108" max="15108" width="9.140625" style="2" customWidth="1"/>
    <col min="15109" max="15109" width="12" style="2" customWidth="1"/>
    <col min="15110" max="15110" width="43.5703125" style="2" customWidth="1"/>
    <col min="15111" max="15363" width="11.42578125" style="2"/>
    <col min="15364" max="15364" width="9.140625" style="2" customWidth="1"/>
    <col min="15365" max="15365" width="12" style="2" customWidth="1"/>
    <col min="15366" max="15366" width="43.5703125" style="2" customWidth="1"/>
    <col min="15367" max="15619" width="11.42578125" style="2"/>
    <col min="15620" max="15620" width="9.140625" style="2" customWidth="1"/>
    <col min="15621" max="15621" width="12" style="2" customWidth="1"/>
    <col min="15622" max="15622" width="43.5703125" style="2" customWidth="1"/>
    <col min="15623" max="15875" width="11.42578125" style="2"/>
    <col min="15876" max="15876" width="9.140625" style="2" customWidth="1"/>
    <col min="15877" max="15877" width="12" style="2" customWidth="1"/>
    <col min="15878" max="15878" width="43.5703125" style="2" customWidth="1"/>
    <col min="15879" max="16131" width="11.42578125" style="2"/>
    <col min="16132" max="16132" width="9.140625" style="2" customWidth="1"/>
    <col min="16133" max="16133" width="12" style="2" customWidth="1"/>
    <col min="16134" max="16134" width="43.5703125" style="2" customWidth="1"/>
    <col min="16135" max="16384" width="11.42578125" style="2"/>
  </cols>
  <sheetData>
    <row r="7" spans="4:7" ht="30" customHeight="1"/>
    <row r="8" spans="4:7" ht="30" customHeight="1">
      <c r="D8" s="417" t="s">
        <v>339</v>
      </c>
      <c r="E8" s="417"/>
      <c r="F8" s="417"/>
      <c r="G8" s="417"/>
    </row>
    <row r="9" spans="4:7" ht="20.100000000000001" customHeight="1">
      <c r="D9" s="418"/>
      <c r="E9" s="419"/>
      <c r="F9" s="419"/>
      <c r="G9" s="419"/>
    </row>
    <row r="10" spans="4:7" ht="20.100000000000001" customHeight="1">
      <c r="D10" s="419"/>
      <c r="E10" s="420" t="s">
        <v>10</v>
      </c>
      <c r="F10" s="421"/>
      <c r="G10" s="421"/>
    </row>
    <row r="11" spans="4:7" ht="20.100000000000001" customHeight="1">
      <c r="D11" s="419"/>
      <c r="E11" s="419"/>
      <c r="F11" s="422"/>
      <c r="G11" s="419"/>
    </row>
    <row r="12" spans="4:7" ht="20.100000000000001" customHeight="1">
      <c r="D12" s="419"/>
      <c r="E12" s="419"/>
      <c r="F12" s="423" t="s">
        <v>224</v>
      </c>
      <c r="G12" s="419"/>
    </row>
    <row r="13" spans="4:7" ht="20.100000000000001" customHeight="1">
      <c r="D13" s="419"/>
      <c r="E13" s="419"/>
      <c r="F13" s="423" t="s">
        <v>340</v>
      </c>
      <c r="G13" s="419"/>
    </row>
    <row r="14" spans="4:7" ht="20.100000000000001" customHeight="1">
      <c r="D14" s="419"/>
      <c r="E14" s="419"/>
      <c r="F14" s="422"/>
      <c r="G14" s="419"/>
    </row>
    <row r="15" spans="4:7" ht="20.100000000000001" customHeight="1">
      <c r="D15" s="419"/>
      <c r="E15" s="420" t="s">
        <v>17</v>
      </c>
      <c r="F15" s="421"/>
      <c r="G15" s="421"/>
    </row>
    <row r="16" spans="4:7" ht="20.100000000000001" customHeight="1">
      <c r="D16" s="419"/>
      <c r="E16" s="419"/>
      <c r="F16" s="422"/>
      <c r="G16" s="419"/>
    </row>
    <row r="17" spans="3:10" ht="20.100000000000001" customHeight="1">
      <c r="D17" s="419"/>
      <c r="E17" s="419"/>
      <c r="F17" s="423" t="s">
        <v>226</v>
      </c>
      <c r="G17" s="419"/>
    </row>
    <row r="18" spans="3:10" ht="20.100000000000001" customHeight="1">
      <c r="D18" s="419"/>
      <c r="E18" s="419"/>
      <c r="F18" s="423" t="s">
        <v>227</v>
      </c>
      <c r="G18" s="419"/>
    </row>
    <row r="19" spans="3:10" ht="20.100000000000001" customHeight="1">
      <c r="D19" s="419"/>
      <c r="E19" s="419"/>
      <c r="F19" s="424"/>
      <c r="G19" s="419"/>
    </row>
    <row r="20" spans="3:10" ht="20.100000000000001" customHeight="1">
      <c r="E20" s="22"/>
      <c r="F20" s="23"/>
    </row>
    <row r="21" spans="3:10" ht="15" customHeight="1">
      <c r="D21" s="11" t="s">
        <v>8</v>
      </c>
      <c r="E21" s="11"/>
      <c r="F21" s="11"/>
      <c r="G21" s="11"/>
    </row>
    <row r="22" spans="3:10" ht="20.100000000000001" customHeight="1"/>
    <row r="23" spans="3:10" ht="15" customHeight="1"/>
    <row r="24" spans="3:10" ht="15" customHeight="1">
      <c r="E24" s="22"/>
      <c r="F24" s="23"/>
    </row>
    <row r="25" spans="3:10" ht="15" customHeight="1"/>
    <row r="26" spans="3:10" ht="20.100000000000001" customHeight="1">
      <c r="D26" s="21"/>
    </row>
    <row r="27" spans="3:10" ht="15" customHeight="1">
      <c r="C27" s="12"/>
      <c r="D27" s="12"/>
      <c r="E27" s="12"/>
      <c r="F27" s="12"/>
      <c r="G27" s="12"/>
      <c r="H27" s="12"/>
      <c r="I27" s="12"/>
      <c r="J27" s="12"/>
    </row>
    <row r="28" spans="3:10" ht="15" customHeight="1"/>
    <row r="29" spans="3:10" ht="15" customHeight="1"/>
    <row r="30" spans="3:10" ht="15" customHeight="1"/>
    <row r="31" spans="3:10" ht="15" customHeight="1">
      <c r="D31" s="21"/>
    </row>
    <row r="32" spans="3:10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</sheetData>
  <mergeCells count="2">
    <mergeCell ref="D8:G8"/>
    <mergeCell ref="D21:G21"/>
  </mergeCells>
  <hyperlinks>
    <hyperlink ref="F12" location="'Ofe Aloj Estim zona cat '!A1" tooltip="Zonas y tipología de establecimiento" display="Zona turística y tipología de establecimiento"/>
    <hyperlink ref="F13" location="'Oferta Alojat Estim tipol categ'!A1" tooltip="Tipología y categoría de establecimiento" display="Tipología y categoría de establecimiento"/>
    <hyperlink ref="F17" location="'Graf plazas estim zona tipologí'!A1" tooltip="Gráfica zona y tipología" display="Zonas y tipología alojativa"/>
    <hyperlink ref="F18" location="'Gráfica plazas estim tipo categ'!A1" tooltip="Gráfica tipología alojativa" display="Tipología y categor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93.xml><?xml version="1.0" encoding="utf-8"?>
<worksheet xmlns="http://schemas.openxmlformats.org/spreadsheetml/2006/main" xmlns:r="http://schemas.openxmlformats.org/officeDocument/2006/relationships">
  <sheetPr codeName="Hoja10">
    <tabColor rgb="FF000099"/>
    <pageSetUpPr autoPageBreaks="0" fitToPage="1"/>
  </sheetPr>
  <dimension ref="B1:N69"/>
  <sheetViews>
    <sheetView showGridLines="0" showRowColHeaders="0" showOutlineSymbols="0" zoomScaleNormal="100" workbookViewId="0">
      <selection activeCell="B25" sqref="B25"/>
    </sheetView>
  </sheetViews>
  <sheetFormatPr baseColWidth="10" defaultRowHeight="12.75"/>
  <cols>
    <col min="1" max="1" width="14.7109375" style="2" customWidth="1"/>
    <col min="2" max="2" width="26.85546875" style="2" customWidth="1"/>
    <col min="3" max="3" width="12.7109375" style="2" customWidth="1"/>
    <col min="4" max="4" width="10.5703125" style="2" customWidth="1"/>
    <col min="5" max="5" width="12.7109375" style="2" customWidth="1"/>
    <col min="6" max="6" width="10.7109375" style="2" customWidth="1"/>
    <col min="7" max="7" width="10.5703125" style="2" customWidth="1"/>
    <col min="8" max="8" width="9.28515625" style="2" customWidth="1"/>
    <col min="9" max="9" width="25.28515625" style="2" customWidth="1"/>
    <col min="10" max="255" width="11.42578125" style="2"/>
    <col min="256" max="256" width="14.7109375" style="2" customWidth="1"/>
    <col min="257" max="257" width="26.85546875" style="2" customWidth="1"/>
    <col min="258" max="258" width="12.7109375" style="2" customWidth="1"/>
    <col min="259" max="259" width="10.5703125" style="2" customWidth="1"/>
    <col min="260" max="260" width="12.7109375" style="2" customWidth="1"/>
    <col min="261" max="261" width="10.7109375" style="2" customWidth="1"/>
    <col min="262" max="262" width="10.5703125" style="2" customWidth="1"/>
    <col min="263" max="263" width="9.28515625" style="2" customWidth="1"/>
    <col min="264" max="511" width="11.42578125" style="2"/>
    <col min="512" max="512" width="14.7109375" style="2" customWidth="1"/>
    <col min="513" max="513" width="26.85546875" style="2" customWidth="1"/>
    <col min="514" max="514" width="12.7109375" style="2" customWidth="1"/>
    <col min="515" max="515" width="10.5703125" style="2" customWidth="1"/>
    <col min="516" max="516" width="12.7109375" style="2" customWidth="1"/>
    <col min="517" max="517" width="10.7109375" style="2" customWidth="1"/>
    <col min="518" max="518" width="10.5703125" style="2" customWidth="1"/>
    <col min="519" max="519" width="9.28515625" style="2" customWidth="1"/>
    <col min="520" max="767" width="11.42578125" style="2"/>
    <col min="768" max="768" width="14.7109375" style="2" customWidth="1"/>
    <col min="769" max="769" width="26.85546875" style="2" customWidth="1"/>
    <col min="770" max="770" width="12.7109375" style="2" customWidth="1"/>
    <col min="771" max="771" width="10.5703125" style="2" customWidth="1"/>
    <col min="772" max="772" width="12.7109375" style="2" customWidth="1"/>
    <col min="773" max="773" width="10.7109375" style="2" customWidth="1"/>
    <col min="774" max="774" width="10.5703125" style="2" customWidth="1"/>
    <col min="775" max="775" width="9.28515625" style="2" customWidth="1"/>
    <col min="776" max="1023" width="11.42578125" style="2"/>
    <col min="1024" max="1024" width="14.7109375" style="2" customWidth="1"/>
    <col min="1025" max="1025" width="26.85546875" style="2" customWidth="1"/>
    <col min="1026" max="1026" width="12.7109375" style="2" customWidth="1"/>
    <col min="1027" max="1027" width="10.5703125" style="2" customWidth="1"/>
    <col min="1028" max="1028" width="12.7109375" style="2" customWidth="1"/>
    <col min="1029" max="1029" width="10.7109375" style="2" customWidth="1"/>
    <col min="1030" max="1030" width="10.5703125" style="2" customWidth="1"/>
    <col min="1031" max="1031" width="9.28515625" style="2" customWidth="1"/>
    <col min="1032" max="1279" width="11.42578125" style="2"/>
    <col min="1280" max="1280" width="14.7109375" style="2" customWidth="1"/>
    <col min="1281" max="1281" width="26.85546875" style="2" customWidth="1"/>
    <col min="1282" max="1282" width="12.7109375" style="2" customWidth="1"/>
    <col min="1283" max="1283" width="10.5703125" style="2" customWidth="1"/>
    <col min="1284" max="1284" width="12.7109375" style="2" customWidth="1"/>
    <col min="1285" max="1285" width="10.7109375" style="2" customWidth="1"/>
    <col min="1286" max="1286" width="10.5703125" style="2" customWidth="1"/>
    <col min="1287" max="1287" width="9.28515625" style="2" customWidth="1"/>
    <col min="1288" max="1535" width="11.42578125" style="2"/>
    <col min="1536" max="1536" width="14.7109375" style="2" customWidth="1"/>
    <col min="1537" max="1537" width="26.85546875" style="2" customWidth="1"/>
    <col min="1538" max="1538" width="12.7109375" style="2" customWidth="1"/>
    <col min="1539" max="1539" width="10.5703125" style="2" customWidth="1"/>
    <col min="1540" max="1540" width="12.7109375" style="2" customWidth="1"/>
    <col min="1541" max="1541" width="10.7109375" style="2" customWidth="1"/>
    <col min="1542" max="1542" width="10.5703125" style="2" customWidth="1"/>
    <col min="1543" max="1543" width="9.28515625" style="2" customWidth="1"/>
    <col min="1544" max="1791" width="11.42578125" style="2"/>
    <col min="1792" max="1792" width="14.7109375" style="2" customWidth="1"/>
    <col min="1793" max="1793" width="26.85546875" style="2" customWidth="1"/>
    <col min="1794" max="1794" width="12.7109375" style="2" customWidth="1"/>
    <col min="1795" max="1795" width="10.5703125" style="2" customWidth="1"/>
    <col min="1796" max="1796" width="12.7109375" style="2" customWidth="1"/>
    <col min="1797" max="1797" width="10.7109375" style="2" customWidth="1"/>
    <col min="1798" max="1798" width="10.5703125" style="2" customWidth="1"/>
    <col min="1799" max="1799" width="9.28515625" style="2" customWidth="1"/>
    <col min="1800" max="2047" width="11.42578125" style="2"/>
    <col min="2048" max="2048" width="14.7109375" style="2" customWidth="1"/>
    <col min="2049" max="2049" width="26.85546875" style="2" customWidth="1"/>
    <col min="2050" max="2050" width="12.7109375" style="2" customWidth="1"/>
    <col min="2051" max="2051" width="10.5703125" style="2" customWidth="1"/>
    <col min="2052" max="2052" width="12.7109375" style="2" customWidth="1"/>
    <col min="2053" max="2053" width="10.7109375" style="2" customWidth="1"/>
    <col min="2054" max="2054" width="10.5703125" style="2" customWidth="1"/>
    <col min="2055" max="2055" width="9.28515625" style="2" customWidth="1"/>
    <col min="2056" max="2303" width="11.42578125" style="2"/>
    <col min="2304" max="2304" width="14.7109375" style="2" customWidth="1"/>
    <col min="2305" max="2305" width="26.85546875" style="2" customWidth="1"/>
    <col min="2306" max="2306" width="12.7109375" style="2" customWidth="1"/>
    <col min="2307" max="2307" width="10.5703125" style="2" customWidth="1"/>
    <col min="2308" max="2308" width="12.7109375" style="2" customWidth="1"/>
    <col min="2309" max="2309" width="10.7109375" style="2" customWidth="1"/>
    <col min="2310" max="2310" width="10.5703125" style="2" customWidth="1"/>
    <col min="2311" max="2311" width="9.28515625" style="2" customWidth="1"/>
    <col min="2312" max="2559" width="11.42578125" style="2"/>
    <col min="2560" max="2560" width="14.7109375" style="2" customWidth="1"/>
    <col min="2561" max="2561" width="26.85546875" style="2" customWidth="1"/>
    <col min="2562" max="2562" width="12.7109375" style="2" customWidth="1"/>
    <col min="2563" max="2563" width="10.5703125" style="2" customWidth="1"/>
    <col min="2564" max="2564" width="12.7109375" style="2" customWidth="1"/>
    <col min="2565" max="2565" width="10.7109375" style="2" customWidth="1"/>
    <col min="2566" max="2566" width="10.5703125" style="2" customWidth="1"/>
    <col min="2567" max="2567" width="9.28515625" style="2" customWidth="1"/>
    <col min="2568" max="2815" width="11.42578125" style="2"/>
    <col min="2816" max="2816" width="14.7109375" style="2" customWidth="1"/>
    <col min="2817" max="2817" width="26.85546875" style="2" customWidth="1"/>
    <col min="2818" max="2818" width="12.7109375" style="2" customWidth="1"/>
    <col min="2819" max="2819" width="10.5703125" style="2" customWidth="1"/>
    <col min="2820" max="2820" width="12.7109375" style="2" customWidth="1"/>
    <col min="2821" max="2821" width="10.7109375" style="2" customWidth="1"/>
    <col min="2822" max="2822" width="10.5703125" style="2" customWidth="1"/>
    <col min="2823" max="2823" width="9.28515625" style="2" customWidth="1"/>
    <col min="2824" max="3071" width="11.42578125" style="2"/>
    <col min="3072" max="3072" width="14.7109375" style="2" customWidth="1"/>
    <col min="3073" max="3073" width="26.85546875" style="2" customWidth="1"/>
    <col min="3074" max="3074" width="12.7109375" style="2" customWidth="1"/>
    <col min="3075" max="3075" width="10.5703125" style="2" customWidth="1"/>
    <col min="3076" max="3076" width="12.7109375" style="2" customWidth="1"/>
    <col min="3077" max="3077" width="10.7109375" style="2" customWidth="1"/>
    <col min="3078" max="3078" width="10.5703125" style="2" customWidth="1"/>
    <col min="3079" max="3079" width="9.28515625" style="2" customWidth="1"/>
    <col min="3080" max="3327" width="11.42578125" style="2"/>
    <col min="3328" max="3328" width="14.7109375" style="2" customWidth="1"/>
    <col min="3329" max="3329" width="26.85546875" style="2" customWidth="1"/>
    <col min="3330" max="3330" width="12.7109375" style="2" customWidth="1"/>
    <col min="3331" max="3331" width="10.5703125" style="2" customWidth="1"/>
    <col min="3332" max="3332" width="12.7109375" style="2" customWidth="1"/>
    <col min="3333" max="3333" width="10.7109375" style="2" customWidth="1"/>
    <col min="3334" max="3334" width="10.5703125" style="2" customWidth="1"/>
    <col min="3335" max="3335" width="9.28515625" style="2" customWidth="1"/>
    <col min="3336" max="3583" width="11.42578125" style="2"/>
    <col min="3584" max="3584" width="14.7109375" style="2" customWidth="1"/>
    <col min="3585" max="3585" width="26.85546875" style="2" customWidth="1"/>
    <col min="3586" max="3586" width="12.7109375" style="2" customWidth="1"/>
    <col min="3587" max="3587" width="10.5703125" style="2" customWidth="1"/>
    <col min="3588" max="3588" width="12.7109375" style="2" customWidth="1"/>
    <col min="3589" max="3589" width="10.7109375" style="2" customWidth="1"/>
    <col min="3590" max="3590" width="10.5703125" style="2" customWidth="1"/>
    <col min="3591" max="3591" width="9.28515625" style="2" customWidth="1"/>
    <col min="3592" max="3839" width="11.42578125" style="2"/>
    <col min="3840" max="3840" width="14.7109375" style="2" customWidth="1"/>
    <col min="3841" max="3841" width="26.85546875" style="2" customWidth="1"/>
    <col min="3842" max="3842" width="12.7109375" style="2" customWidth="1"/>
    <col min="3843" max="3843" width="10.5703125" style="2" customWidth="1"/>
    <col min="3844" max="3844" width="12.7109375" style="2" customWidth="1"/>
    <col min="3845" max="3845" width="10.7109375" style="2" customWidth="1"/>
    <col min="3846" max="3846" width="10.5703125" style="2" customWidth="1"/>
    <col min="3847" max="3847" width="9.28515625" style="2" customWidth="1"/>
    <col min="3848" max="4095" width="11.42578125" style="2"/>
    <col min="4096" max="4096" width="14.7109375" style="2" customWidth="1"/>
    <col min="4097" max="4097" width="26.85546875" style="2" customWidth="1"/>
    <col min="4098" max="4098" width="12.7109375" style="2" customWidth="1"/>
    <col min="4099" max="4099" width="10.5703125" style="2" customWidth="1"/>
    <col min="4100" max="4100" width="12.7109375" style="2" customWidth="1"/>
    <col min="4101" max="4101" width="10.7109375" style="2" customWidth="1"/>
    <col min="4102" max="4102" width="10.5703125" style="2" customWidth="1"/>
    <col min="4103" max="4103" width="9.28515625" style="2" customWidth="1"/>
    <col min="4104" max="4351" width="11.42578125" style="2"/>
    <col min="4352" max="4352" width="14.7109375" style="2" customWidth="1"/>
    <col min="4353" max="4353" width="26.85546875" style="2" customWidth="1"/>
    <col min="4354" max="4354" width="12.7109375" style="2" customWidth="1"/>
    <col min="4355" max="4355" width="10.5703125" style="2" customWidth="1"/>
    <col min="4356" max="4356" width="12.7109375" style="2" customWidth="1"/>
    <col min="4357" max="4357" width="10.7109375" style="2" customWidth="1"/>
    <col min="4358" max="4358" width="10.5703125" style="2" customWidth="1"/>
    <col min="4359" max="4359" width="9.28515625" style="2" customWidth="1"/>
    <col min="4360" max="4607" width="11.42578125" style="2"/>
    <col min="4608" max="4608" width="14.7109375" style="2" customWidth="1"/>
    <col min="4609" max="4609" width="26.85546875" style="2" customWidth="1"/>
    <col min="4610" max="4610" width="12.7109375" style="2" customWidth="1"/>
    <col min="4611" max="4611" width="10.5703125" style="2" customWidth="1"/>
    <col min="4612" max="4612" width="12.7109375" style="2" customWidth="1"/>
    <col min="4613" max="4613" width="10.7109375" style="2" customWidth="1"/>
    <col min="4614" max="4614" width="10.5703125" style="2" customWidth="1"/>
    <col min="4615" max="4615" width="9.28515625" style="2" customWidth="1"/>
    <col min="4616" max="4863" width="11.42578125" style="2"/>
    <col min="4864" max="4864" width="14.7109375" style="2" customWidth="1"/>
    <col min="4865" max="4865" width="26.85546875" style="2" customWidth="1"/>
    <col min="4866" max="4866" width="12.7109375" style="2" customWidth="1"/>
    <col min="4867" max="4867" width="10.5703125" style="2" customWidth="1"/>
    <col min="4868" max="4868" width="12.7109375" style="2" customWidth="1"/>
    <col min="4869" max="4869" width="10.7109375" style="2" customWidth="1"/>
    <col min="4870" max="4870" width="10.5703125" style="2" customWidth="1"/>
    <col min="4871" max="4871" width="9.28515625" style="2" customWidth="1"/>
    <col min="4872" max="5119" width="11.42578125" style="2"/>
    <col min="5120" max="5120" width="14.7109375" style="2" customWidth="1"/>
    <col min="5121" max="5121" width="26.85546875" style="2" customWidth="1"/>
    <col min="5122" max="5122" width="12.7109375" style="2" customWidth="1"/>
    <col min="5123" max="5123" width="10.5703125" style="2" customWidth="1"/>
    <col min="5124" max="5124" width="12.7109375" style="2" customWidth="1"/>
    <col min="5125" max="5125" width="10.7109375" style="2" customWidth="1"/>
    <col min="5126" max="5126" width="10.5703125" style="2" customWidth="1"/>
    <col min="5127" max="5127" width="9.28515625" style="2" customWidth="1"/>
    <col min="5128" max="5375" width="11.42578125" style="2"/>
    <col min="5376" max="5376" width="14.7109375" style="2" customWidth="1"/>
    <col min="5377" max="5377" width="26.85546875" style="2" customWidth="1"/>
    <col min="5378" max="5378" width="12.7109375" style="2" customWidth="1"/>
    <col min="5379" max="5379" width="10.5703125" style="2" customWidth="1"/>
    <col min="5380" max="5380" width="12.7109375" style="2" customWidth="1"/>
    <col min="5381" max="5381" width="10.7109375" style="2" customWidth="1"/>
    <col min="5382" max="5382" width="10.5703125" style="2" customWidth="1"/>
    <col min="5383" max="5383" width="9.28515625" style="2" customWidth="1"/>
    <col min="5384" max="5631" width="11.42578125" style="2"/>
    <col min="5632" max="5632" width="14.7109375" style="2" customWidth="1"/>
    <col min="5633" max="5633" width="26.85546875" style="2" customWidth="1"/>
    <col min="5634" max="5634" width="12.7109375" style="2" customWidth="1"/>
    <col min="5635" max="5635" width="10.5703125" style="2" customWidth="1"/>
    <col min="5636" max="5636" width="12.7109375" style="2" customWidth="1"/>
    <col min="5637" max="5637" width="10.7109375" style="2" customWidth="1"/>
    <col min="5638" max="5638" width="10.5703125" style="2" customWidth="1"/>
    <col min="5639" max="5639" width="9.28515625" style="2" customWidth="1"/>
    <col min="5640" max="5887" width="11.42578125" style="2"/>
    <col min="5888" max="5888" width="14.7109375" style="2" customWidth="1"/>
    <col min="5889" max="5889" width="26.85546875" style="2" customWidth="1"/>
    <col min="5890" max="5890" width="12.7109375" style="2" customWidth="1"/>
    <col min="5891" max="5891" width="10.5703125" style="2" customWidth="1"/>
    <col min="5892" max="5892" width="12.7109375" style="2" customWidth="1"/>
    <col min="5893" max="5893" width="10.7109375" style="2" customWidth="1"/>
    <col min="5894" max="5894" width="10.5703125" style="2" customWidth="1"/>
    <col min="5895" max="5895" width="9.28515625" style="2" customWidth="1"/>
    <col min="5896" max="6143" width="11.42578125" style="2"/>
    <col min="6144" max="6144" width="14.7109375" style="2" customWidth="1"/>
    <col min="6145" max="6145" width="26.85546875" style="2" customWidth="1"/>
    <col min="6146" max="6146" width="12.7109375" style="2" customWidth="1"/>
    <col min="6147" max="6147" width="10.5703125" style="2" customWidth="1"/>
    <col min="6148" max="6148" width="12.7109375" style="2" customWidth="1"/>
    <col min="6149" max="6149" width="10.7109375" style="2" customWidth="1"/>
    <col min="6150" max="6150" width="10.5703125" style="2" customWidth="1"/>
    <col min="6151" max="6151" width="9.28515625" style="2" customWidth="1"/>
    <col min="6152" max="6399" width="11.42578125" style="2"/>
    <col min="6400" max="6400" width="14.7109375" style="2" customWidth="1"/>
    <col min="6401" max="6401" width="26.85546875" style="2" customWidth="1"/>
    <col min="6402" max="6402" width="12.7109375" style="2" customWidth="1"/>
    <col min="6403" max="6403" width="10.5703125" style="2" customWidth="1"/>
    <col min="6404" max="6404" width="12.7109375" style="2" customWidth="1"/>
    <col min="6405" max="6405" width="10.7109375" style="2" customWidth="1"/>
    <col min="6406" max="6406" width="10.5703125" style="2" customWidth="1"/>
    <col min="6407" max="6407" width="9.28515625" style="2" customWidth="1"/>
    <col min="6408" max="6655" width="11.42578125" style="2"/>
    <col min="6656" max="6656" width="14.7109375" style="2" customWidth="1"/>
    <col min="6657" max="6657" width="26.85546875" style="2" customWidth="1"/>
    <col min="6658" max="6658" width="12.7109375" style="2" customWidth="1"/>
    <col min="6659" max="6659" width="10.5703125" style="2" customWidth="1"/>
    <col min="6660" max="6660" width="12.7109375" style="2" customWidth="1"/>
    <col min="6661" max="6661" width="10.7109375" style="2" customWidth="1"/>
    <col min="6662" max="6662" width="10.5703125" style="2" customWidth="1"/>
    <col min="6663" max="6663" width="9.28515625" style="2" customWidth="1"/>
    <col min="6664" max="6911" width="11.42578125" style="2"/>
    <col min="6912" max="6912" width="14.7109375" style="2" customWidth="1"/>
    <col min="6913" max="6913" width="26.85546875" style="2" customWidth="1"/>
    <col min="6914" max="6914" width="12.7109375" style="2" customWidth="1"/>
    <col min="6915" max="6915" width="10.5703125" style="2" customWidth="1"/>
    <col min="6916" max="6916" width="12.7109375" style="2" customWidth="1"/>
    <col min="6917" max="6917" width="10.7109375" style="2" customWidth="1"/>
    <col min="6918" max="6918" width="10.5703125" style="2" customWidth="1"/>
    <col min="6919" max="6919" width="9.28515625" style="2" customWidth="1"/>
    <col min="6920" max="7167" width="11.42578125" style="2"/>
    <col min="7168" max="7168" width="14.7109375" style="2" customWidth="1"/>
    <col min="7169" max="7169" width="26.85546875" style="2" customWidth="1"/>
    <col min="7170" max="7170" width="12.7109375" style="2" customWidth="1"/>
    <col min="7171" max="7171" width="10.5703125" style="2" customWidth="1"/>
    <col min="7172" max="7172" width="12.7109375" style="2" customWidth="1"/>
    <col min="7173" max="7173" width="10.7109375" style="2" customWidth="1"/>
    <col min="7174" max="7174" width="10.5703125" style="2" customWidth="1"/>
    <col min="7175" max="7175" width="9.28515625" style="2" customWidth="1"/>
    <col min="7176" max="7423" width="11.42578125" style="2"/>
    <col min="7424" max="7424" width="14.7109375" style="2" customWidth="1"/>
    <col min="7425" max="7425" width="26.85546875" style="2" customWidth="1"/>
    <col min="7426" max="7426" width="12.7109375" style="2" customWidth="1"/>
    <col min="7427" max="7427" width="10.5703125" style="2" customWidth="1"/>
    <col min="7428" max="7428" width="12.7109375" style="2" customWidth="1"/>
    <col min="7429" max="7429" width="10.7109375" style="2" customWidth="1"/>
    <col min="7430" max="7430" width="10.5703125" style="2" customWidth="1"/>
    <col min="7431" max="7431" width="9.28515625" style="2" customWidth="1"/>
    <col min="7432" max="7679" width="11.42578125" style="2"/>
    <col min="7680" max="7680" width="14.7109375" style="2" customWidth="1"/>
    <col min="7681" max="7681" width="26.85546875" style="2" customWidth="1"/>
    <col min="7682" max="7682" width="12.7109375" style="2" customWidth="1"/>
    <col min="7683" max="7683" width="10.5703125" style="2" customWidth="1"/>
    <col min="7684" max="7684" width="12.7109375" style="2" customWidth="1"/>
    <col min="7685" max="7685" width="10.7109375" style="2" customWidth="1"/>
    <col min="7686" max="7686" width="10.5703125" style="2" customWidth="1"/>
    <col min="7687" max="7687" width="9.28515625" style="2" customWidth="1"/>
    <col min="7688" max="7935" width="11.42578125" style="2"/>
    <col min="7936" max="7936" width="14.7109375" style="2" customWidth="1"/>
    <col min="7937" max="7937" width="26.85546875" style="2" customWidth="1"/>
    <col min="7938" max="7938" width="12.7109375" style="2" customWidth="1"/>
    <col min="7939" max="7939" width="10.5703125" style="2" customWidth="1"/>
    <col min="7940" max="7940" width="12.7109375" style="2" customWidth="1"/>
    <col min="7941" max="7941" width="10.7109375" style="2" customWidth="1"/>
    <col min="7942" max="7942" width="10.5703125" style="2" customWidth="1"/>
    <col min="7943" max="7943" width="9.28515625" style="2" customWidth="1"/>
    <col min="7944" max="8191" width="11.42578125" style="2"/>
    <col min="8192" max="8192" width="14.7109375" style="2" customWidth="1"/>
    <col min="8193" max="8193" width="26.85546875" style="2" customWidth="1"/>
    <col min="8194" max="8194" width="12.7109375" style="2" customWidth="1"/>
    <col min="8195" max="8195" width="10.5703125" style="2" customWidth="1"/>
    <col min="8196" max="8196" width="12.7109375" style="2" customWidth="1"/>
    <col min="8197" max="8197" width="10.7109375" style="2" customWidth="1"/>
    <col min="8198" max="8198" width="10.5703125" style="2" customWidth="1"/>
    <col min="8199" max="8199" width="9.28515625" style="2" customWidth="1"/>
    <col min="8200" max="8447" width="11.42578125" style="2"/>
    <col min="8448" max="8448" width="14.7109375" style="2" customWidth="1"/>
    <col min="8449" max="8449" width="26.85546875" style="2" customWidth="1"/>
    <col min="8450" max="8450" width="12.7109375" style="2" customWidth="1"/>
    <col min="8451" max="8451" width="10.5703125" style="2" customWidth="1"/>
    <col min="8452" max="8452" width="12.7109375" style="2" customWidth="1"/>
    <col min="8453" max="8453" width="10.7109375" style="2" customWidth="1"/>
    <col min="8454" max="8454" width="10.5703125" style="2" customWidth="1"/>
    <col min="8455" max="8455" width="9.28515625" style="2" customWidth="1"/>
    <col min="8456" max="8703" width="11.42578125" style="2"/>
    <col min="8704" max="8704" width="14.7109375" style="2" customWidth="1"/>
    <col min="8705" max="8705" width="26.85546875" style="2" customWidth="1"/>
    <col min="8706" max="8706" width="12.7109375" style="2" customWidth="1"/>
    <col min="8707" max="8707" width="10.5703125" style="2" customWidth="1"/>
    <col min="8708" max="8708" width="12.7109375" style="2" customWidth="1"/>
    <col min="8709" max="8709" width="10.7109375" style="2" customWidth="1"/>
    <col min="8710" max="8710" width="10.5703125" style="2" customWidth="1"/>
    <col min="8711" max="8711" width="9.28515625" style="2" customWidth="1"/>
    <col min="8712" max="8959" width="11.42578125" style="2"/>
    <col min="8960" max="8960" width="14.7109375" style="2" customWidth="1"/>
    <col min="8961" max="8961" width="26.85546875" style="2" customWidth="1"/>
    <col min="8962" max="8962" width="12.7109375" style="2" customWidth="1"/>
    <col min="8963" max="8963" width="10.5703125" style="2" customWidth="1"/>
    <col min="8964" max="8964" width="12.7109375" style="2" customWidth="1"/>
    <col min="8965" max="8965" width="10.7109375" style="2" customWidth="1"/>
    <col min="8966" max="8966" width="10.5703125" style="2" customWidth="1"/>
    <col min="8967" max="8967" width="9.28515625" style="2" customWidth="1"/>
    <col min="8968" max="9215" width="11.42578125" style="2"/>
    <col min="9216" max="9216" width="14.7109375" style="2" customWidth="1"/>
    <col min="9217" max="9217" width="26.85546875" style="2" customWidth="1"/>
    <col min="9218" max="9218" width="12.7109375" style="2" customWidth="1"/>
    <col min="9219" max="9219" width="10.5703125" style="2" customWidth="1"/>
    <col min="9220" max="9220" width="12.7109375" style="2" customWidth="1"/>
    <col min="9221" max="9221" width="10.7109375" style="2" customWidth="1"/>
    <col min="9222" max="9222" width="10.5703125" style="2" customWidth="1"/>
    <col min="9223" max="9223" width="9.28515625" style="2" customWidth="1"/>
    <col min="9224" max="9471" width="11.42578125" style="2"/>
    <col min="9472" max="9472" width="14.7109375" style="2" customWidth="1"/>
    <col min="9473" max="9473" width="26.85546875" style="2" customWidth="1"/>
    <col min="9474" max="9474" width="12.7109375" style="2" customWidth="1"/>
    <col min="9475" max="9475" width="10.5703125" style="2" customWidth="1"/>
    <col min="9476" max="9476" width="12.7109375" style="2" customWidth="1"/>
    <col min="9477" max="9477" width="10.7109375" style="2" customWidth="1"/>
    <col min="9478" max="9478" width="10.5703125" style="2" customWidth="1"/>
    <col min="9479" max="9479" width="9.28515625" style="2" customWidth="1"/>
    <col min="9480" max="9727" width="11.42578125" style="2"/>
    <col min="9728" max="9728" width="14.7109375" style="2" customWidth="1"/>
    <col min="9729" max="9729" width="26.85546875" style="2" customWidth="1"/>
    <col min="9730" max="9730" width="12.7109375" style="2" customWidth="1"/>
    <col min="9731" max="9731" width="10.5703125" style="2" customWidth="1"/>
    <col min="9732" max="9732" width="12.7109375" style="2" customWidth="1"/>
    <col min="9733" max="9733" width="10.7109375" style="2" customWidth="1"/>
    <col min="9734" max="9734" width="10.5703125" style="2" customWidth="1"/>
    <col min="9735" max="9735" width="9.28515625" style="2" customWidth="1"/>
    <col min="9736" max="9983" width="11.42578125" style="2"/>
    <col min="9984" max="9984" width="14.7109375" style="2" customWidth="1"/>
    <col min="9985" max="9985" width="26.85546875" style="2" customWidth="1"/>
    <col min="9986" max="9986" width="12.7109375" style="2" customWidth="1"/>
    <col min="9987" max="9987" width="10.5703125" style="2" customWidth="1"/>
    <col min="9988" max="9988" width="12.7109375" style="2" customWidth="1"/>
    <col min="9989" max="9989" width="10.7109375" style="2" customWidth="1"/>
    <col min="9990" max="9990" width="10.5703125" style="2" customWidth="1"/>
    <col min="9991" max="9991" width="9.28515625" style="2" customWidth="1"/>
    <col min="9992" max="10239" width="11.42578125" style="2"/>
    <col min="10240" max="10240" width="14.7109375" style="2" customWidth="1"/>
    <col min="10241" max="10241" width="26.85546875" style="2" customWidth="1"/>
    <col min="10242" max="10242" width="12.7109375" style="2" customWidth="1"/>
    <col min="10243" max="10243" width="10.5703125" style="2" customWidth="1"/>
    <col min="10244" max="10244" width="12.7109375" style="2" customWidth="1"/>
    <col min="10245" max="10245" width="10.7109375" style="2" customWidth="1"/>
    <col min="10246" max="10246" width="10.5703125" style="2" customWidth="1"/>
    <col min="10247" max="10247" width="9.28515625" style="2" customWidth="1"/>
    <col min="10248" max="10495" width="11.42578125" style="2"/>
    <col min="10496" max="10496" width="14.7109375" style="2" customWidth="1"/>
    <col min="10497" max="10497" width="26.85546875" style="2" customWidth="1"/>
    <col min="10498" max="10498" width="12.7109375" style="2" customWidth="1"/>
    <col min="10499" max="10499" width="10.5703125" style="2" customWidth="1"/>
    <col min="10500" max="10500" width="12.7109375" style="2" customWidth="1"/>
    <col min="10501" max="10501" width="10.7109375" style="2" customWidth="1"/>
    <col min="10502" max="10502" width="10.5703125" style="2" customWidth="1"/>
    <col min="10503" max="10503" width="9.28515625" style="2" customWidth="1"/>
    <col min="10504" max="10751" width="11.42578125" style="2"/>
    <col min="10752" max="10752" width="14.7109375" style="2" customWidth="1"/>
    <col min="10753" max="10753" width="26.85546875" style="2" customWidth="1"/>
    <col min="10754" max="10754" width="12.7109375" style="2" customWidth="1"/>
    <col min="10755" max="10755" width="10.5703125" style="2" customWidth="1"/>
    <col min="10756" max="10756" width="12.7109375" style="2" customWidth="1"/>
    <col min="10757" max="10757" width="10.7109375" style="2" customWidth="1"/>
    <col min="10758" max="10758" width="10.5703125" style="2" customWidth="1"/>
    <col min="10759" max="10759" width="9.28515625" style="2" customWidth="1"/>
    <col min="10760" max="11007" width="11.42578125" style="2"/>
    <col min="11008" max="11008" width="14.7109375" style="2" customWidth="1"/>
    <col min="11009" max="11009" width="26.85546875" style="2" customWidth="1"/>
    <col min="11010" max="11010" width="12.7109375" style="2" customWidth="1"/>
    <col min="11011" max="11011" width="10.5703125" style="2" customWidth="1"/>
    <col min="11012" max="11012" width="12.7109375" style="2" customWidth="1"/>
    <col min="11013" max="11013" width="10.7109375" style="2" customWidth="1"/>
    <col min="11014" max="11014" width="10.5703125" style="2" customWidth="1"/>
    <col min="11015" max="11015" width="9.28515625" style="2" customWidth="1"/>
    <col min="11016" max="11263" width="11.42578125" style="2"/>
    <col min="11264" max="11264" width="14.7109375" style="2" customWidth="1"/>
    <col min="11265" max="11265" width="26.85546875" style="2" customWidth="1"/>
    <col min="11266" max="11266" width="12.7109375" style="2" customWidth="1"/>
    <col min="11267" max="11267" width="10.5703125" style="2" customWidth="1"/>
    <col min="11268" max="11268" width="12.7109375" style="2" customWidth="1"/>
    <col min="11269" max="11269" width="10.7109375" style="2" customWidth="1"/>
    <col min="11270" max="11270" width="10.5703125" style="2" customWidth="1"/>
    <col min="11271" max="11271" width="9.28515625" style="2" customWidth="1"/>
    <col min="11272" max="11519" width="11.42578125" style="2"/>
    <col min="11520" max="11520" width="14.7109375" style="2" customWidth="1"/>
    <col min="11521" max="11521" width="26.85546875" style="2" customWidth="1"/>
    <col min="11522" max="11522" width="12.7109375" style="2" customWidth="1"/>
    <col min="11523" max="11523" width="10.5703125" style="2" customWidth="1"/>
    <col min="11524" max="11524" width="12.7109375" style="2" customWidth="1"/>
    <col min="11525" max="11525" width="10.7109375" style="2" customWidth="1"/>
    <col min="11526" max="11526" width="10.5703125" style="2" customWidth="1"/>
    <col min="11527" max="11527" width="9.28515625" style="2" customWidth="1"/>
    <col min="11528" max="11775" width="11.42578125" style="2"/>
    <col min="11776" max="11776" width="14.7109375" style="2" customWidth="1"/>
    <col min="11777" max="11777" width="26.85546875" style="2" customWidth="1"/>
    <col min="11778" max="11778" width="12.7109375" style="2" customWidth="1"/>
    <col min="11779" max="11779" width="10.5703125" style="2" customWidth="1"/>
    <col min="11780" max="11780" width="12.7109375" style="2" customWidth="1"/>
    <col min="11781" max="11781" width="10.7109375" style="2" customWidth="1"/>
    <col min="11782" max="11782" width="10.5703125" style="2" customWidth="1"/>
    <col min="11783" max="11783" width="9.28515625" style="2" customWidth="1"/>
    <col min="11784" max="12031" width="11.42578125" style="2"/>
    <col min="12032" max="12032" width="14.7109375" style="2" customWidth="1"/>
    <col min="12033" max="12033" width="26.85546875" style="2" customWidth="1"/>
    <col min="12034" max="12034" width="12.7109375" style="2" customWidth="1"/>
    <col min="12035" max="12035" width="10.5703125" style="2" customWidth="1"/>
    <col min="12036" max="12036" width="12.7109375" style="2" customWidth="1"/>
    <col min="12037" max="12037" width="10.7109375" style="2" customWidth="1"/>
    <col min="12038" max="12038" width="10.5703125" style="2" customWidth="1"/>
    <col min="12039" max="12039" width="9.28515625" style="2" customWidth="1"/>
    <col min="12040" max="12287" width="11.42578125" style="2"/>
    <col min="12288" max="12288" width="14.7109375" style="2" customWidth="1"/>
    <col min="12289" max="12289" width="26.85546875" style="2" customWidth="1"/>
    <col min="12290" max="12290" width="12.7109375" style="2" customWidth="1"/>
    <col min="12291" max="12291" width="10.5703125" style="2" customWidth="1"/>
    <col min="12292" max="12292" width="12.7109375" style="2" customWidth="1"/>
    <col min="12293" max="12293" width="10.7109375" style="2" customWidth="1"/>
    <col min="12294" max="12294" width="10.5703125" style="2" customWidth="1"/>
    <col min="12295" max="12295" width="9.28515625" style="2" customWidth="1"/>
    <col min="12296" max="12543" width="11.42578125" style="2"/>
    <col min="12544" max="12544" width="14.7109375" style="2" customWidth="1"/>
    <col min="12545" max="12545" width="26.85546875" style="2" customWidth="1"/>
    <col min="12546" max="12546" width="12.7109375" style="2" customWidth="1"/>
    <col min="12547" max="12547" width="10.5703125" style="2" customWidth="1"/>
    <col min="12548" max="12548" width="12.7109375" style="2" customWidth="1"/>
    <col min="12549" max="12549" width="10.7109375" style="2" customWidth="1"/>
    <col min="12550" max="12550" width="10.5703125" style="2" customWidth="1"/>
    <col min="12551" max="12551" width="9.28515625" style="2" customWidth="1"/>
    <col min="12552" max="12799" width="11.42578125" style="2"/>
    <col min="12800" max="12800" width="14.7109375" style="2" customWidth="1"/>
    <col min="12801" max="12801" width="26.85546875" style="2" customWidth="1"/>
    <col min="12802" max="12802" width="12.7109375" style="2" customWidth="1"/>
    <col min="12803" max="12803" width="10.5703125" style="2" customWidth="1"/>
    <col min="12804" max="12804" width="12.7109375" style="2" customWidth="1"/>
    <col min="12805" max="12805" width="10.7109375" style="2" customWidth="1"/>
    <col min="12806" max="12806" width="10.5703125" style="2" customWidth="1"/>
    <col min="12807" max="12807" width="9.28515625" style="2" customWidth="1"/>
    <col min="12808" max="13055" width="11.42578125" style="2"/>
    <col min="13056" max="13056" width="14.7109375" style="2" customWidth="1"/>
    <col min="13057" max="13057" width="26.85546875" style="2" customWidth="1"/>
    <col min="13058" max="13058" width="12.7109375" style="2" customWidth="1"/>
    <col min="13059" max="13059" width="10.5703125" style="2" customWidth="1"/>
    <col min="13060" max="13060" width="12.7109375" style="2" customWidth="1"/>
    <col min="13061" max="13061" width="10.7109375" style="2" customWidth="1"/>
    <col min="13062" max="13062" width="10.5703125" style="2" customWidth="1"/>
    <col min="13063" max="13063" width="9.28515625" style="2" customWidth="1"/>
    <col min="13064" max="13311" width="11.42578125" style="2"/>
    <col min="13312" max="13312" width="14.7109375" style="2" customWidth="1"/>
    <col min="13313" max="13313" width="26.85546875" style="2" customWidth="1"/>
    <col min="13314" max="13314" width="12.7109375" style="2" customWidth="1"/>
    <col min="13315" max="13315" width="10.5703125" style="2" customWidth="1"/>
    <col min="13316" max="13316" width="12.7109375" style="2" customWidth="1"/>
    <col min="13317" max="13317" width="10.7109375" style="2" customWidth="1"/>
    <col min="13318" max="13318" width="10.5703125" style="2" customWidth="1"/>
    <col min="13319" max="13319" width="9.28515625" style="2" customWidth="1"/>
    <col min="13320" max="13567" width="11.42578125" style="2"/>
    <col min="13568" max="13568" width="14.7109375" style="2" customWidth="1"/>
    <col min="13569" max="13569" width="26.85546875" style="2" customWidth="1"/>
    <col min="13570" max="13570" width="12.7109375" style="2" customWidth="1"/>
    <col min="13571" max="13571" width="10.5703125" style="2" customWidth="1"/>
    <col min="13572" max="13572" width="12.7109375" style="2" customWidth="1"/>
    <col min="13573" max="13573" width="10.7109375" style="2" customWidth="1"/>
    <col min="13574" max="13574" width="10.5703125" style="2" customWidth="1"/>
    <col min="13575" max="13575" width="9.28515625" style="2" customWidth="1"/>
    <col min="13576" max="13823" width="11.42578125" style="2"/>
    <col min="13824" max="13824" width="14.7109375" style="2" customWidth="1"/>
    <col min="13825" max="13825" width="26.85546875" style="2" customWidth="1"/>
    <col min="13826" max="13826" width="12.7109375" style="2" customWidth="1"/>
    <col min="13827" max="13827" width="10.5703125" style="2" customWidth="1"/>
    <col min="13828" max="13828" width="12.7109375" style="2" customWidth="1"/>
    <col min="13829" max="13829" width="10.7109375" style="2" customWidth="1"/>
    <col min="13830" max="13830" width="10.5703125" style="2" customWidth="1"/>
    <col min="13831" max="13831" width="9.28515625" style="2" customWidth="1"/>
    <col min="13832" max="14079" width="11.42578125" style="2"/>
    <col min="14080" max="14080" width="14.7109375" style="2" customWidth="1"/>
    <col min="14081" max="14081" width="26.85546875" style="2" customWidth="1"/>
    <col min="14082" max="14082" width="12.7109375" style="2" customWidth="1"/>
    <col min="14083" max="14083" width="10.5703125" style="2" customWidth="1"/>
    <col min="14084" max="14084" width="12.7109375" style="2" customWidth="1"/>
    <col min="14085" max="14085" width="10.7109375" style="2" customWidth="1"/>
    <col min="14086" max="14086" width="10.5703125" style="2" customWidth="1"/>
    <col min="14087" max="14087" width="9.28515625" style="2" customWidth="1"/>
    <col min="14088" max="14335" width="11.42578125" style="2"/>
    <col min="14336" max="14336" width="14.7109375" style="2" customWidth="1"/>
    <col min="14337" max="14337" width="26.85546875" style="2" customWidth="1"/>
    <col min="14338" max="14338" width="12.7109375" style="2" customWidth="1"/>
    <col min="14339" max="14339" width="10.5703125" style="2" customWidth="1"/>
    <col min="14340" max="14340" width="12.7109375" style="2" customWidth="1"/>
    <col min="14341" max="14341" width="10.7109375" style="2" customWidth="1"/>
    <col min="14342" max="14342" width="10.5703125" style="2" customWidth="1"/>
    <col min="14343" max="14343" width="9.28515625" style="2" customWidth="1"/>
    <col min="14344" max="14591" width="11.42578125" style="2"/>
    <col min="14592" max="14592" width="14.7109375" style="2" customWidth="1"/>
    <col min="14593" max="14593" width="26.85546875" style="2" customWidth="1"/>
    <col min="14594" max="14594" width="12.7109375" style="2" customWidth="1"/>
    <col min="14595" max="14595" width="10.5703125" style="2" customWidth="1"/>
    <col min="14596" max="14596" width="12.7109375" style="2" customWidth="1"/>
    <col min="14597" max="14597" width="10.7109375" style="2" customWidth="1"/>
    <col min="14598" max="14598" width="10.5703125" style="2" customWidth="1"/>
    <col min="14599" max="14599" width="9.28515625" style="2" customWidth="1"/>
    <col min="14600" max="14847" width="11.42578125" style="2"/>
    <col min="14848" max="14848" width="14.7109375" style="2" customWidth="1"/>
    <col min="14849" max="14849" width="26.85546875" style="2" customWidth="1"/>
    <col min="14850" max="14850" width="12.7109375" style="2" customWidth="1"/>
    <col min="14851" max="14851" width="10.5703125" style="2" customWidth="1"/>
    <col min="14852" max="14852" width="12.7109375" style="2" customWidth="1"/>
    <col min="14853" max="14853" width="10.7109375" style="2" customWidth="1"/>
    <col min="14854" max="14854" width="10.5703125" style="2" customWidth="1"/>
    <col min="14855" max="14855" width="9.28515625" style="2" customWidth="1"/>
    <col min="14856" max="15103" width="11.42578125" style="2"/>
    <col min="15104" max="15104" width="14.7109375" style="2" customWidth="1"/>
    <col min="15105" max="15105" width="26.85546875" style="2" customWidth="1"/>
    <col min="15106" max="15106" width="12.7109375" style="2" customWidth="1"/>
    <col min="15107" max="15107" width="10.5703125" style="2" customWidth="1"/>
    <col min="15108" max="15108" width="12.7109375" style="2" customWidth="1"/>
    <col min="15109" max="15109" width="10.7109375" style="2" customWidth="1"/>
    <col min="15110" max="15110" width="10.5703125" style="2" customWidth="1"/>
    <col min="15111" max="15111" width="9.28515625" style="2" customWidth="1"/>
    <col min="15112" max="15359" width="11.42578125" style="2"/>
    <col min="15360" max="15360" width="14.7109375" style="2" customWidth="1"/>
    <col min="15361" max="15361" width="26.85546875" style="2" customWidth="1"/>
    <col min="15362" max="15362" width="12.7109375" style="2" customWidth="1"/>
    <col min="15363" max="15363" width="10.5703125" style="2" customWidth="1"/>
    <col min="15364" max="15364" width="12.7109375" style="2" customWidth="1"/>
    <col min="15365" max="15365" width="10.7109375" style="2" customWidth="1"/>
    <col min="15366" max="15366" width="10.5703125" style="2" customWidth="1"/>
    <col min="15367" max="15367" width="9.28515625" style="2" customWidth="1"/>
    <col min="15368" max="15615" width="11.42578125" style="2"/>
    <col min="15616" max="15616" width="14.7109375" style="2" customWidth="1"/>
    <col min="15617" max="15617" width="26.85546875" style="2" customWidth="1"/>
    <col min="15618" max="15618" width="12.7109375" style="2" customWidth="1"/>
    <col min="15619" max="15619" width="10.5703125" style="2" customWidth="1"/>
    <col min="15620" max="15620" width="12.7109375" style="2" customWidth="1"/>
    <col min="15621" max="15621" width="10.7109375" style="2" customWidth="1"/>
    <col min="15622" max="15622" width="10.5703125" style="2" customWidth="1"/>
    <col min="15623" max="15623" width="9.28515625" style="2" customWidth="1"/>
    <col min="15624" max="15871" width="11.42578125" style="2"/>
    <col min="15872" max="15872" width="14.7109375" style="2" customWidth="1"/>
    <col min="15873" max="15873" width="26.85546875" style="2" customWidth="1"/>
    <col min="15874" max="15874" width="12.7109375" style="2" customWidth="1"/>
    <col min="15875" max="15875" width="10.5703125" style="2" customWidth="1"/>
    <col min="15876" max="15876" width="12.7109375" style="2" customWidth="1"/>
    <col min="15877" max="15877" width="10.7109375" style="2" customWidth="1"/>
    <col min="15878" max="15878" width="10.5703125" style="2" customWidth="1"/>
    <col min="15879" max="15879" width="9.28515625" style="2" customWidth="1"/>
    <col min="15880" max="16127" width="11.42578125" style="2"/>
    <col min="16128" max="16128" width="14.7109375" style="2" customWidth="1"/>
    <col min="16129" max="16129" width="26.85546875" style="2" customWidth="1"/>
    <col min="16130" max="16130" width="12.7109375" style="2" customWidth="1"/>
    <col min="16131" max="16131" width="10.5703125" style="2" customWidth="1"/>
    <col min="16132" max="16132" width="12.7109375" style="2" customWidth="1"/>
    <col min="16133" max="16133" width="10.7109375" style="2" customWidth="1"/>
    <col min="16134" max="16134" width="10.5703125" style="2" customWidth="1"/>
    <col min="16135" max="16135" width="9.28515625" style="2" customWidth="1"/>
    <col min="16136" max="16384" width="11.42578125" style="2"/>
  </cols>
  <sheetData>
    <row r="1" spans="2:14">
      <c r="B1" s="23"/>
    </row>
    <row r="2" spans="2:14">
      <c r="B2" s="23"/>
    </row>
    <row r="3" spans="2:14">
      <c r="B3" s="23"/>
    </row>
    <row r="4" spans="2:14" ht="14.25" customHeight="1">
      <c r="B4" s="23"/>
    </row>
    <row r="5" spans="2:14">
      <c r="B5" s="23"/>
    </row>
    <row r="6" spans="2:14" ht="25.5" customHeight="1">
      <c r="B6" s="246" t="s">
        <v>341</v>
      </c>
      <c r="C6" s="247"/>
      <c r="D6" s="247"/>
      <c r="E6" s="247"/>
      <c r="F6" s="247"/>
      <c r="G6" s="248"/>
      <c r="I6" s="246" t="s">
        <v>341</v>
      </c>
      <c r="J6" s="247"/>
      <c r="K6" s="247"/>
      <c r="L6" s="247"/>
      <c r="M6" s="247"/>
      <c r="N6" s="248"/>
    </row>
    <row r="7" spans="2:14" ht="25.5" customHeight="1">
      <c r="B7" s="507"/>
      <c r="C7" s="223" t="str">
        <f>actualizaciones!$A$4</f>
        <v>I semestre 2009</v>
      </c>
      <c r="D7" s="508" t="s">
        <v>342</v>
      </c>
      <c r="E7" s="223" t="str">
        <f>actualizaciones!$B$4</f>
        <v>I semestre 2010</v>
      </c>
      <c r="F7" s="508" t="s">
        <v>342</v>
      </c>
      <c r="G7" s="509" t="s">
        <v>28</v>
      </c>
      <c r="I7" s="507"/>
      <c r="J7" s="223" t="str">
        <f>actualizaciones!$A$5</f>
        <v>II semestre 2009</v>
      </c>
      <c r="K7" s="508" t="s">
        <v>342</v>
      </c>
      <c r="L7" s="223" t="str">
        <f>actualizaciones!$B$5</f>
        <v>II semestre 2010</v>
      </c>
      <c r="M7" s="508" t="s">
        <v>342</v>
      </c>
      <c r="N7" s="509" t="s">
        <v>28</v>
      </c>
    </row>
    <row r="8" spans="2:14">
      <c r="B8" s="98" t="s">
        <v>343</v>
      </c>
      <c r="C8" s="510"/>
      <c r="D8" s="511"/>
      <c r="E8" s="510"/>
      <c r="F8" s="510"/>
      <c r="G8" s="512"/>
      <c r="I8" s="98" t="s">
        <v>343</v>
      </c>
      <c r="J8" s="510"/>
      <c r="K8" s="511"/>
      <c r="L8" s="510"/>
      <c r="M8" s="510"/>
      <c r="N8" s="512"/>
    </row>
    <row r="9" spans="2:14">
      <c r="B9" s="513" t="s">
        <v>344</v>
      </c>
      <c r="C9" s="514">
        <f>GETPIVOTDATA("Suma de TOTAL GENERAL",'[1]tabla dinámica oferta alojativa'!$A$4,"PAIS/INDICADOR","plazas I semestre","AÑO",2009)</f>
        <v>185142</v>
      </c>
      <c r="D9" s="35">
        <f>C9/$C$9</f>
        <v>1</v>
      </c>
      <c r="E9" s="514">
        <f>GETPIVOTDATA("Suma de TOTAL GENERAL",'[1]tabla dinámica oferta alojativa'!$A$4,"PAIS/INDICADOR","plazas I semestre","AÑO",2010)</f>
        <v>178697</v>
      </c>
      <c r="F9" s="35">
        <f>E9/E$9</f>
        <v>1</v>
      </c>
      <c r="G9" s="36">
        <f>(E9-C9)/C9</f>
        <v>-3.4811117952706569E-2</v>
      </c>
      <c r="I9" s="513" t="s">
        <v>344</v>
      </c>
      <c r="J9" s="514">
        <f>GETPIVOTDATA("Suma de TOTAL GENERAL",'[1]tabla dinámica oferta alojativa'!$A$4,"PAIS/INDICADOR","plazas II semestre","AÑO",2009)</f>
        <v>181964</v>
      </c>
      <c r="K9" s="35">
        <f>J9/$J$9</f>
        <v>1</v>
      </c>
      <c r="L9" s="514">
        <f>GETPIVOTDATA("Suma de TOTAL GENERAL",'[1]tabla dinámica oferta alojativa'!$A$4,"PAIS/INDICADOR","plazas II semestre","AÑO",2010)</f>
        <v>175168</v>
      </c>
      <c r="M9" s="35">
        <f>L9/L$9</f>
        <v>1</v>
      </c>
      <c r="N9" s="36">
        <f>(L9-J9)/J9</f>
        <v>-3.7348046866413138E-2</v>
      </c>
    </row>
    <row r="10" spans="2:14">
      <c r="B10" s="515" t="s">
        <v>345</v>
      </c>
      <c r="C10" s="516">
        <f>GETPIVOTDATA("Suma de TOTAL HOTELERO",'[1]tabla dinámica oferta alojativa'!$A$4,"PAIS/INDICADOR","plazas I semestre","AÑO",2009)</f>
        <v>88057</v>
      </c>
      <c r="D10" s="39">
        <f>C10/$C$9</f>
        <v>0.47561871428417107</v>
      </c>
      <c r="E10" s="516">
        <f>GETPIVOTDATA("Suma de TOTAL HOTELERO",'[1]tabla dinámica oferta alojativa'!$A$4,"PAIS/INDICADOR","plazas I semestre","AÑO",2010)</f>
        <v>86541</v>
      </c>
      <c r="F10" s="39">
        <f>E10/E$9</f>
        <v>0.48428904794148753</v>
      </c>
      <c r="G10" s="40">
        <f>(E10-C10)/C10</f>
        <v>-1.7216121375926957E-2</v>
      </c>
      <c r="I10" s="515" t="s">
        <v>345</v>
      </c>
      <c r="J10" s="516">
        <f>GETPIVOTDATA("Suma de TOTAL HOTELERO",'[1]tabla dinámica oferta alojativa'!$A$4,"PAIS/INDICADOR","plazas II semestre","AÑO",2009)</f>
        <v>87662</v>
      </c>
      <c r="K10" s="39">
        <f>J10/$J$9</f>
        <v>0.48175463278450681</v>
      </c>
      <c r="L10" s="516">
        <f>GETPIVOTDATA("Suma de TOTAL HOTELERO",'[1]tabla dinámica oferta alojativa'!$A$4,"PAIS/INDICADOR","plazas II semestre","AÑO",2010)</f>
        <v>85983</v>
      </c>
      <c r="M10" s="39">
        <f>L10/L$9</f>
        <v>0.4908602027767629</v>
      </c>
      <c r="N10" s="40">
        <f>(L10-J10)/J10</f>
        <v>-1.9153110811982389E-2</v>
      </c>
    </row>
    <row r="11" spans="2:14">
      <c r="B11" s="517" t="s">
        <v>346</v>
      </c>
      <c r="C11" s="518">
        <f>GETPIVOTDATA("Suma de Extrahoteleros",'[1]tabla dinámica oferta alojativa'!$A$4,"PAIS/INDICADOR","plazas I semestre","AÑO",2009)</f>
        <v>97085</v>
      </c>
      <c r="D11" s="41">
        <f>C11/$C$9</f>
        <v>0.52438128571582898</v>
      </c>
      <c r="E11" s="518">
        <f>GETPIVOTDATA("Suma de Extrahoteleros",'[1]tabla dinámica oferta alojativa'!$A$4,"PAIS/INDICADOR","plazas I semestre","AÑO",2010)</f>
        <v>92156</v>
      </c>
      <c r="F11" s="41">
        <f>E11/E$9</f>
        <v>0.51571095205851247</v>
      </c>
      <c r="G11" s="40">
        <f>(E11-C11)/C11</f>
        <v>-5.0769943863624656E-2</v>
      </c>
      <c r="I11" s="517" t="s">
        <v>346</v>
      </c>
      <c r="J11" s="518">
        <f>GETPIVOTDATA("Suma de Extrahoteleros",'[1]tabla dinámica oferta alojativa'!$A$4,"PAIS/INDICADOR","plazas II semestre","AÑO",2009)</f>
        <v>94302</v>
      </c>
      <c r="K11" s="41">
        <f>J11/$J$9</f>
        <v>0.51824536721549319</v>
      </c>
      <c r="L11" s="518">
        <f>GETPIVOTDATA("Suma de Extrahoteleros",'[1]tabla dinámica oferta alojativa'!$A$4,"PAIS/INDICADOR","plazas II semestre","AÑO",2010)</f>
        <v>89185</v>
      </c>
      <c r="M11" s="41">
        <f>L11/L$9</f>
        <v>0.5091397972232371</v>
      </c>
      <c r="N11" s="40">
        <f>(L11-J11)/J11</f>
        <v>-5.4261839621641113E-2</v>
      </c>
    </row>
    <row r="12" spans="2:14">
      <c r="B12" s="98" t="s">
        <v>347</v>
      </c>
      <c r="C12" s="519"/>
      <c r="D12" s="520"/>
      <c r="E12" s="519"/>
      <c r="F12" s="510"/>
      <c r="G12" s="512"/>
      <c r="I12" s="98" t="s">
        <v>347</v>
      </c>
      <c r="J12" s="519"/>
      <c r="K12" s="520"/>
      <c r="L12" s="519"/>
      <c r="M12" s="510"/>
      <c r="N12" s="512"/>
    </row>
    <row r="13" spans="2:14">
      <c r="B13" s="513" t="s">
        <v>344</v>
      </c>
      <c r="C13" s="514">
        <f>GETPIVOTDATA("Suma de TOTAL Z1",'[1]tabla dinámica oferta alojativa'!$A$4,"PAIS/INDICADOR","plazas I semestre","AÑO",2009)</f>
        <v>2531</v>
      </c>
      <c r="D13" s="35">
        <f>C13/$C$13</f>
        <v>1</v>
      </c>
      <c r="E13" s="514">
        <f>GETPIVOTDATA("Suma de TOTAL Z1",'[1]tabla dinámica oferta alojativa'!$A$4,"PAIS/INDICADOR","plazas I semestre","AÑO",2010)</f>
        <v>2504</v>
      </c>
      <c r="F13" s="35">
        <f>E13/$E$13</f>
        <v>1</v>
      </c>
      <c r="G13" s="36">
        <f>(E13-C13)/C13</f>
        <v>-1.066772026866851E-2</v>
      </c>
      <c r="I13" s="513" t="s">
        <v>344</v>
      </c>
      <c r="J13" s="514">
        <f>GETPIVOTDATA("Suma de TOTAL Z1",'[1]tabla dinámica oferta alojativa'!$A$4,"PAIS/INDICADOR","plazas II semestre","AÑO",2009)</f>
        <v>2504</v>
      </c>
      <c r="K13" s="35">
        <f>J13/$J$13</f>
        <v>1</v>
      </c>
      <c r="L13" s="514">
        <f>GETPIVOTDATA("Suma de TOTAL Z1",'[1]tabla dinámica oferta alojativa'!$A$4,"PAIS/INDICADOR","plazas II semestre","AÑO",2010)</f>
        <v>1947</v>
      </c>
      <c r="M13" s="35">
        <f>L13/$L$13</f>
        <v>1</v>
      </c>
      <c r="N13" s="36">
        <f>(L13-J13)/J13</f>
        <v>-0.222444089456869</v>
      </c>
    </row>
    <row r="14" spans="2:14">
      <c r="B14" s="515" t="s">
        <v>345</v>
      </c>
      <c r="C14" s="516">
        <f>GETPIVOTDATA("Suma de HOTEL Z1",'[1]tabla dinámica oferta alojativa'!$A$4,"PAIS/INDICADOR","plazas I semestre","AÑO",2009)</f>
        <v>2531</v>
      </c>
      <c r="D14" s="39">
        <f>C14/$C$13</f>
        <v>1</v>
      </c>
      <c r="E14" s="516">
        <f>GETPIVOTDATA("Suma de HOTEL Z1",'[1]tabla dinámica oferta alojativa'!$A$4,"PAIS/INDICADOR","plazas I semestre","AÑO",2010)</f>
        <v>2504</v>
      </c>
      <c r="F14" s="39">
        <f>E14/$E$14</f>
        <v>1</v>
      </c>
      <c r="G14" s="40">
        <f>(E14-C14)/C14</f>
        <v>-1.066772026866851E-2</v>
      </c>
      <c r="I14" s="515" t="s">
        <v>345</v>
      </c>
      <c r="J14" s="516">
        <f>GETPIVOTDATA("Suma de HOTEL Z1",'[1]tabla dinámica oferta alojativa'!$A$4,"PAIS/INDICADOR","plazas II semestre","AÑO",2009)</f>
        <v>2504</v>
      </c>
      <c r="K14" s="39">
        <f>J14/$J$13</f>
        <v>1</v>
      </c>
      <c r="L14" s="516">
        <f>GETPIVOTDATA("Suma de HOTEL Z1",'[1]tabla dinámica oferta alojativa'!$A$4,"PAIS/INDICADOR","plazas II semestre","AÑO",2010)</f>
        <v>1947</v>
      </c>
      <c r="M14" s="39">
        <f>L14/$L$13</f>
        <v>1</v>
      </c>
      <c r="N14" s="40">
        <f>(L14-J14)/J14</f>
        <v>-0.222444089456869</v>
      </c>
    </row>
    <row r="15" spans="2:14">
      <c r="B15" s="517" t="s">
        <v>346</v>
      </c>
      <c r="C15" s="521" t="s">
        <v>216</v>
      </c>
      <c r="D15" s="522" t="s">
        <v>216</v>
      </c>
      <c r="E15" s="521" t="s">
        <v>216</v>
      </c>
      <c r="F15" s="522" t="s">
        <v>216</v>
      </c>
      <c r="G15" s="523" t="s">
        <v>216</v>
      </c>
      <c r="I15" s="517" t="s">
        <v>346</v>
      </c>
      <c r="J15" s="521" t="s">
        <v>216</v>
      </c>
      <c r="K15" s="522" t="s">
        <v>216</v>
      </c>
      <c r="L15" s="521" t="s">
        <v>216</v>
      </c>
      <c r="M15" s="522" t="s">
        <v>216</v>
      </c>
      <c r="N15" s="523" t="s">
        <v>216</v>
      </c>
    </row>
    <row r="16" spans="2:14">
      <c r="B16" s="98" t="s">
        <v>348</v>
      </c>
      <c r="C16" s="524"/>
      <c r="D16" s="512"/>
      <c r="E16" s="524"/>
      <c r="F16" s="510"/>
      <c r="G16" s="512"/>
      <c r="I16" s="98" t="s">
        <v>348</v>
      </c>
      <c r="J16" s="524"/>
      <c r="K16" s="512"/>
      <c r="L16" s="524"/>
      <c r="M16" s="510"/>
      <c r="N16" s="512"/>
    </row>
    <row r="17" spans="2:14">
      <c r="B17" s="513" t="s">
        <v>344</v>
      </c>
      <c r="C17" s="514">
        <f>GETPIVOTDATA("Suma de TOTAL Z2",'[1]tabla dinámica oferta alojativa'!$A$4,"PAIS/INDICADOR","plazas I semestre","AÑO",2009)</f>
        <v>1946</v>
      </c>
      <c r="D17" s="35">
        <f>C17/$C$17</f>
        <v>1</v>
      </c>
      <c r="E17" s="514">
        <f>GETPIVOTDATA("Suma de TOTAL Z2",'[1]tabla dinámica oferta alojativa'!$A$4,"PAIS/INDICADOR","plazas I semestre","AÑO",2010)</f>
        <v>1713</v>
      </c>
      <c r="F17" s="35">
        <f>E17/$E$17</f>
        <v>1</v>
      </c>
      <c r="G17" s="36">
        <f>(E17-C17)/C17</f>
        <v>-0.1197327852004111</v>
      </c>
      <c r="I17" s="513" t="s">
        <v>344</v>
      </c>
      <c r="J17" s="514">
        <f>GETPIVOTDATA("Suma de TOTAL Z2",'[1]tabla dinámica oferta alojativa'!$A$4,"PAIS/INDICADOR","plazas II semestre","AÑO",2009)</f>
        <v>1713</v>
      </c>
      <c r="K17" s="35">
        <f>J17/$J$17</f>
        <v>1</v>
      </c>
      <c r="L17" s="514">
        <f>GETPIVOTDATA("Suma de TOTAL Z2",'[1]tabla dinámica oferta alojativa'!$A$4,"PAIS/INDICADOR","plazas II semestre","AÑO",2010)</f>
        <v>1409</v>
      </c>
      <c r="M17" s="35">
        <f>L17/$L$17</f>
        <v>1</v>
      </c>
      <c r="N17" s="36">
        <f>(L17-J17)/J17</f>
        <v>-0.17746643315820199</v>
      </c>
    </row>
    <row r="18" spans="2:14">
      <c r="B18" s="515" t="s">
        <v>345</v>
      </c>
      <c r="C18" s="516">
        <f>GETPIVOTDATA("Suma de HOTEL Z2",'[1]tabla dinámica oferta alojativa'!$A$4,"PAIS/INDICADOR","plazas I semestre","AÑO",2009)</f>
        <v>514</v>
      </c>
      <c r="D18" s="39">
        <f>C18/$C$17</f>
        <v>0.26413155190133608</v>
      </c>
      <c r="E18" s="516">
        <f>GETPIVOTDATA("Suma de HOTEL Z2",'[1]tabla dinámica oferta alojativa'!$A$4,"PAIS/INDICADOR","plazas I semestre","AÑO",2010)</f>
        <v>514</v>
      </c>
      <c r="F18" s="39">
        <f>E18/$E$17</f>
        <v>0.30005837711617045</v>
      </c>
      <c r="G18" s="40">
        <f>(E18-C18)/C18</f>
        <v>0</v>
      </c>
      <c r="I18" s="515" t="s">
        <v>345</v>
      </c>
      <c r="J18" s="516">
        <f>GETPIVOTDATA("Suma de HOTEL Z2",'[1]tabla dinámica oferta alojativa'!$A$4,"PAIS/INDICADOR","plazas II semestre","AÑO",2009)</f>
        <v>514</v>
      </c>
      <c r="K18" s="39">
        <f>J18/$J$17</f>
        <v>0.30005837711617045</v>
      </c>
      <c r="L18" s="516">
        <f>GETPIVOTDATA("Suma de HOTEL Z2",'[1]tabla dinámica oferta alojativa'!$A$4,"PAIS/INDICADOR","plazas II semestre","AÑO",2010)</f>
        <v>514</v>
      </c>
      <c r="M18" s="39">
        <f>L18/$L$17</f>
        <v>0.36479772888573458</v>
      </c>
      <c r="N18" s="40">
        <f>(L18-J18)/J18</f>
        <v>0</v>
      </c>
    </row>
    <row r="19" spans="2:14">
      <c r="B19" s="517" t="s">
        <v>346</v>
      </c>
      <c r="C19" s="518">
        <f>GETPIVOTDATA("Suma de EXTRA-H Z2",'[1]tabla dinámica oferta alojativa'!$A$4,"PAIS/INDICADOR","plazas I semestre","AÑO",2009)</f>
        <v>1432</v>
      </c>
      <c r="D19" s="41">
        <f>C19/$C$17</f>
        <v>0.73586844809866392</v>
      </c>
      <c r="E19" s="518">
        <f>GETPIVOTDATA("Suma de EXTRA-H Z2",'[1]tabla dinámica oferta alojativa'!$A$4,"PAIS/INDICADOR","plazas I semestre","AÑO",2010)</f>
        <v>1199</v>
      </c>
      <c r="F19" s="41">
        <f>E19/$E$17</f>
        <v>0.69994162288382955</v>
      </c>
      <c r="G19" s="40">
        <f>(E19-C19)/C19</f>
        <v>-0.16270949720670391</v>
      </c>
      <c r="I19" s="517" t="s">
        <v>346</v>
      </c>
      <c r="J19" s="518">
        <f>GETPIVOTDATA("Suma de EXTRA-H Z2",'[1]tabla dinámica oferta alojativa'!$A$4,"PAIS/INDICADOR","plazas II semestre","AÑO",2009)</f>
        <v>1199</v>
      </c>
      <c r="K19" s="41">
        <f>J19/$J$17</f>
        <v>0.69994162288382955</v>
      </c>
      <c r="L19" s="518">
        <f>GETPIVOTDATA("Suma de EXTRA-H Z2",'[1]tabla dinámica oferta alojativa'!$A$4,"PAIS/INDICADOR","plazas II semestre","AÑO",2010)</f>
        <v>895</v>
      </c>
      <c r="M19" s="41">
        <f>L19/$L$17</f>
        <v>0.63520227111426542</v>
      </c>
      <c r="N19" s="40">
        <f>(L19-J19)/J19</f>
        <v>-0.25354462051709759</v>
      </c>
    </row>
    <row r="20" spans="2:14">
      <c r="B20" s="98" t="s">
        <v>349</v>
      </c>
      <c r="C20" s="519"/>
      <c r="D20" s="512"/>
      <c r="E20" s="519"/>
      <c r="F20" s="510"/>
      <c r="G20" s="512"/>
      <c r="I20" s="98" t="s">
        <v>349</v>
      </c>
      <c r="J20" s="519"/>
      <c r="K20" s="512"/>
      <c r="L20" s="519"/>
      <c r="M20" s="510"/>
      <c r="N20" s="512"/>
    </row>
    <row r="21" spans="2:14">
      <c r="B21" s="513" t="s">
        <v>344</v>
      </c>
      <c r="C21" s="514">
        <f>GETPIVOTDATA("Suma de TOTAL Z3",'[1]tabla dinámica oferta alojativa'!$A$4,"PAIS/INDICADOR","plazas I semestre","AÑO",2009)</f>
        <v>32671</v>
      </c>
      <c r="D21" s="35">
        <f>C21/$C$21</f>
        <v>1</v>
      </c>
      <c r="E21" s="514">
        <f>GETPIVOTDATA("Suma de TOTAL Z3",'[1]tabla dinámica oferta alojativa'!$A$4,"PAIS/INDICADOR","plazas I semestre","AÑO",2010)</f>
        <v>30806</v>
      </c>
      <c r="F21" s="35">
        <f>E21/$E$21</f>
        <v>1</v>
      </c>
      <c r="G21" s="36">
        <f>(E21-C21)/C21</f>
        <v>-5.7084264332282454E-2</v>
      </c>
      <c r="I21" s="513" t="s">
        <v>344</v>
      </c>
      <c r="J21" s="514">
        <f>GETPIVOTDATA("Suma de TOTAL Z3",'[1]tabla dinámica oferta alojativa'!$A$4,"PAIS/INDICADOR","plazas II semestre","AÑO",2009)</f>
        <v>32113</v>
      </c>
      <c r="K21" s="35">
        <f>J21/$J$21</f>
        <v>1</v>
      </c>
      <c r="L21" s="514">
        <f>GETPIVOTDATA("Suma de TOTAL Z3",'[1]tabla dinámica oferta alojativa'!$A$4,"PAIS/INDICADOR","plazas II semestre","AÑO",2010)</f>
        <v>29535</v>
      </c>
      <c r="M21" s="35">
        <f>L21/$L$21</f>
        <v>1</v>
      </c>
      <c r="N21" s="36">
        <f>(L21-J21)/J21</f>
        <v>-8.0279014729237375E-2</v>
      </c>
    </row>
    <row r="22" spans="2:14">
      <c r="B22" s="515" t="s">
        <v>345</v>
      </c>
      <c r="C22" s="516">
        <f>GETPIVOTDATA("Suma de HOTEL Z3",'[1]tabla dinámica oferta alojativa'!$A$4,"PAIS/INDICADOR","plazas I semestre","AÑO",2009)</f>
        <v>19044</v>
      </c>
      <c r="D22" s="39">
        <f>C22/$C$21</f>
        <v>0.58290226806648093</v>
      </c>
      <c r="E22" s="516">
        <f>GETPIVOTDATA("Suma de HOTEL Z3",'[1]tabla dinámica oferta alojativa'!$A$4,"PAIS/INDICADOR","plazas I semestre","AÑO",2010)</f>
        <v>18641</v>
      </c>
      <c r="F22" s="39">
        <f>E22/$E$21</f>
        <v>0.6051093942738428</v>
      </c>
      <c r="G22" s="40">
        <f>(E22-C22)/C22</f>
        <v>-2.1161520688930898E-2</v>
      </c>
      <c r="I22" s="515" t="s">
        <v>345</v>
      </c>
      <c r="J22" s="516">
        <f>GETPIVOTDATA("Suma de HOTEL Z3",'[1]tabla dinámica oferta alojativa'!$A$4,"PAIS/INDICADOR","plazas II semestre","AÑO",2009)</f>
        <v>19237</v>
      </c>
      <c r="K22" s="39">
        <f>J22/$J$21</f>
        <v>0.59904088686824652</v>
      </c>
      <c r="L22" s="516">
        <f>GETPIVOTDATA("Suma de HOTEL Z3",'[1]tabla dinámica oferta alojativa'!$A$4,"PAIS/INDICADOR","plazas II semestre","AÑO",2010)</f>
        <v>18673</v>
      </c>
      <c r="M22" s="39">
        <f>L22/$L$21</f>
        <v>0.63223294396478757</v>
      </c>
      <c r="N22" s="40">
        <f>(L22-J22)/J22</f>
        <v>-2.9318500805738942E-2</v>
      </c>
    </row>
    <row r="23" spans="2:14">
      <c r="B23" s="517" t="s">
        <v>346</v>
      </c>
      <c r="C23" s="518">
        <f>GETPIVOTDATA("Suma de EXTRA-H Z3",'[1]tabla dinámica oferta alojativa'!$A$4,"PAIS/INDICADOR","plazas I semestre","AÑO",2009)</f>
        <v>13627</v>
      </c>
      <c r="D23" s="41">
        <f>C23/$C$21</f>
        <v>0.41709773193351901</v>
      </c>
      <c r="E23" s="518">
        <f>GETPIVOTDATA("Suma de EXTRA-H Z3",'[1]tabla dinámica oferta alojativa'!$A$4,"PAIS/INDICADOR","plazas I semestre","AÑO",2010)</f>
        <v>12165</v>
      </c>
      <c r="F23" s="41">
        <f>E23/$E$21</f>
        <v>0.39489060572615725</v>
      </c>
      <c r="G23" s="40">
        <f>(E23-C23)/C23</f>
        <v>-0.1072870037425699</v>
      </c>
      <c r="I23" s="517" t="s">
        <v>346</v>
      </c>
      <c r="J23" s="518">
        <f>GETPIVOTDATA("Suma de EXTRA-H Z3",'[1]tabla dinámica oferta alojativa'!$A$4,"PAIS/INDICADOR","plazas II semestre","AÑO",2009)</f>
        <v>12876</v>
      </c>
      <c r="K23" s="41">
        <f>J23/$J$21</f>
        <v>0.40095911313175348</v>
      </c>
      <c r="L23" s="518">
        <f>GETPIVOTDATA("Suma de EXTRA-H Z3",'[1]tabla dinámica oferta alojativa'!$A$4,"PAIS/INDICADOR","plazas II semestre","AÑO",2010)</f>
        <v>10862</v>
      </c>
      <c r="M23" s="41">
        <f>L23/$L$21</f>
        <v>0.36776705603521248</v>
      </c>
      <c r="N23" s="40">
        <f>(L23-J23)/J23</f>
        <v>-0.15641503572538054</v>
      </c>
    </row>
    <row r="24" spans="2:14">
      <c r="B24" s="525" t="s">
        <v>306</v>
      </c>
      <c r="C24" s="526"/>
      <c r="D24" s="527"/>
      <c r="E24" s="526"/>
      <c r="F24" s="528"/>
      <c r="G24" s="527"/>
      <c r="I24" s="525" t="s">
        <v>306</v>
      </c>
      <c r="J24" s="526"/>
      <c r="K24" s="527"/>
      <c r="L24" s="526"/>
      <c r="M24" s="528"/>
      <c r="N24" s="527"/>
    </row>
    <row r="25" spans="2:14">
      <c r="B25" s="513" t="s">
        <v>344</v>
      </c>
      <c r="C25" s="514">
        <f>GETPIVOTDATA("dato",'[1]tabla dinámica oferta alojativa'!$A$52,"categoría","TOTAL","municipio","Puerto de la Cruz","mes",1,"año",2009)</f>
        <v>28846</v>
      </c>
      <c r="D25" s="35">
        <f>C25/$C$25</f>
        <v>1</v>
      </c>
      <c r="E25" s="514">
        <f>GETPIVOTDATA("dato",'[1]tabla dinámica oferta alojativa'!$A$52,"categoría","TOTAL","municipio","Puerto de la Cruz","mes",1,"año",2010)</f>
        <v>27225</v>
      </c>
      <c r="F25" s="35">
        <f>E25/$E$25</f>
        <v>1</v>
      </c>
      <c r="G25" s="36">
        <f>(E25-C25)/C25</f>
        <v>-5.6194966373153993E-2</v>
      </c>
      <c r="I25" s="513" t="s">
        <v>344</v>
      </c>
      <c r="J25" s="514">
        <f>GETPIVOTDATA("dato",'[1]tabla dinámica oferta alojativa'!$A$52,"categoría","TOTAL","municipio","Puerto de la Cruz","mes",7,"año",2009)</f>
        <v>28475</v>
      </c>
      <c r="K25" s="35">
        <f>J25/$J$25</f>
        <v>1</v>
      </c>
      <c r="L25" s="514">
        <f>GETPIVOTDATA("dato",'[1]tabla dinámica oferta alojativa'!$A$52,"categoría","TOTAL","municipio","Puerto de la Cruz","mes",7,"año",2010)</f>
        <v>25676</v>
      </c>
      <c r="M25" s="35">
        <f>L25/$L$25</f>
        <v>1</v>
      </c>
      <c r="N25" s="36">
        <f>(L25-J25)/J25</f>
        <v>-9.8296751536435467E-2</v>
      </c>
    </row>
    <row r="26" spans="2:14">
      <c r="B26" s="515" t="s">
        <v>345</v>
      </c>
      <c r="C26" s="516">
        <f>GETPIVOTDATA("dato",'[1]tabla dinámica oferta alojativa'!$A$52,"categoría","Hoteleros","municipio","Puerto de la Cruz","mes",1,"año",2009)</f>
        <v>16831</v>
      </c>
      <c r="D26" s="39">
        <f>C26/$C$25</f>
        <v>0.5834777785481523</v>
      </c>
      <c r="E26" s="516">
        <f>GETPIVOTDATA("dato",'[1]tabla dinámica oferta alojativa'!$A$52,"categoría","Hoteleros","municipio","Puerto de la Cruz","mes",1,"año",2010)</f>
        <v>16442</v>
      </c>
      <c r="F26" s="39">
        <f>E26/$E$25</f>
        <v>0.60393021120293844</v>
      </c>
      <c r="G26" s="40">
        <f>(E26-C26)/C26</f>
        <v>-2.3112114550531755E-2</v>
      </c>
      <c r="I26" s="515" t="s">
        <v>345</v>
      </c>
      <c r="J26" s="516">
        <f>GETPIVOTDATA("dato",'[1]tabla dinámica oferta alojativa'!$A$52,"categoría","Hoteleros","municipio","Puerto de la Cruz","mes",7,"año",2009)</f>
        <v>17038</v>
      </c>
      <c r="K26" s="39">
        <f>J26/$J$25</f>
        <v>0.5983494293239684</v>
      </c>
      <c r="L26" s="516">
        <f>GETPIVOTDATA("dato",'[1]tabla dinámica oferta alojativa'!$A$52,"categoría","Hoteleros","municipio","Puerto de la Cruz","mes",7,"año",2010)</f>
        <v>16158</v>
      </c>
      <c r="M26" s="39">
        <f>L26/$L$25</f>
        <v>0.6293036298488861</v>
      </c>
      <c r="N26" s="40">
        <f>(L26-J26)/J26</f>
        <v>-5.1649254607348281E-2</v>
      </c>
    </row>
    <row r="27" spans="2:14">
      <c r="B27" s="517" t="s">
        <v>346</v>
      </c>
      <c r="C27" s="518">
        <f>GETPIVOTDATA("dato",'[1]tabla dinámica oferta alojativa'!$A$52,"categoría","Extrahoteleros","municipio","Puerto de la Cruz","mes",1,"año",2009)</f>
        <v>12015</v>
      </c>
      <c r="D27" s="41">
        <f>C27/$C$25</f>
        <v>0.41652222145184775</v>
      </c>
      <c r="E27" s="518">
        <f>GETPIVOTDATA("dato",'[1]tabla dinámica oferta alojativa'!$A$52,"categoría","Extrahoteleros","municipio","Puerto de la Cruz","mes",1,"año",2010)</f>
        <v>10783</v>
      </c>
      <c r="F27" s="41">
        <f>E27/$E$25</f>
        <v>0.39606978879706151</v>
      </c>
      <c r="G27" s="40">
        <f>(E27-C27)/C27</f>
        <v>-0.10253849354972951</v>
      </c>
      <c r="I27" s="517" t="s">
        <v>346</v>
      </c>
      <c r="J27" s="518">
        <f>GETPIVOTDATA("dato",'[1]tabla dinámica oferta alojativa'!$A$52,"categoría","Extrahoteleros","municipio","Puerto de la Cruz","mes",7,"año",2009)</f>
        <v>11437</v>
      </c>
      <c r="K27" s="39">
        <f>J27/$J$25</f>
        <v>0.4016505706760316</v>
      </c>
      <c r="L27" s="518">
        <f>GETPIVOTDATA("dato",'[1]tabla dinámica oferta alojativa'!$A$52,"categoría","Extrahoteleros","municipio","Puerto de la Cruz","mes",7,"año",2010)</f>
        <v>9518</v>
      </c>
      <c r="M27" s="39">
        <f>L27/$L$25</f>
        <v>0.3706963701511139</v>
      </c>
      <c r="N27" s="40">
        <f>(L27-J27)/J27</f>
        <v>-0.16778875579260297</v>
      </c>
    </row>
    <row r="28" spans="2:14">
      <c r="B28" s="98" t="s">
        <v>350</v>
      </c>
      <c r="C28" s="519"/>
      <c r="D28" s="512"/>
      <c r="E28" s="519"/>
      <c r="F28" s="510"/>
      <c r="G28" s="512"/>
      <c r="I28" s="98" t="s">
        <v>350</v>
      </c>
      <c r="J28" s="519"/>
      <c r="K28" s="512"/>
      <c r="L28" s="519"/>
      <c r="M28" s="510"/>
      <c r="N28" s="512"/>
    </row>
    <row r="29" spans="2:14">
      <c r="B29" s="513" t="s">
        <v>344</v>
      </c>
      <c r="C29" s="514">
        <f>GETPIVOTDATA("Suma de TOTAL Z4",'[1]tabla dinámica oferta alojativa'!$A$4,"PAIS/INDICADOR","plazas I semestre","AÑO",2009)</f>
        <v>147994</v>
      </c>
      <c r="D29" s="35">
        <f>C29/$C$29</f>
        <v>1</v>
      </c>
      <c r="E29" s="514">
        <f>GETPIVOTDATA("Suma de TOTAL Z4",'[1]tabla dinámica oferta alojativa'!$A$4,"PAIS/INDICADOR","plazas I semestre","AÑO",2010)</f>
        <v>143674</v>
      </c>
      <c r="F29" s="35">
        <f>E29/$E$29</f>
        <v>1</v>
      </c>
      <c r="G29" s="36">
        <f>(E29-C29)/C29</f>
        <v>-2.9190372582672271E-2</v>
      </c>
      <c r="I29" s="513" t="s">
        <v>344</v>
      </c>
      <c r="J29" s="514">
        <f>GETPIVOTDATA("Suma de TOTAL Z4",'[1]tabla dinámica oferta alojativa'!$A$4,"PAIS/INDICADOR","plazas II semestre","AÑO",2009)</f>
        <v>145634</v>
      </c>
      <c r="K29" s="35">
        <f>J29/$J$29</f>
        <v>1</v>
      </c>
      <c r="L29" s="514">
        <f>GETPIVOTDATA("Suma de TOTAL Z4",'[1]tabla dinámica oferta alojativa'!$A$4,"PAIS/INDICADOR","plazas II semestre","AÑO",2010)</f>
        <v>142277</v>
      </c>
      <c r="M29" s="35">
        <f>L29/$L$29</f>
        <v>1</v>
      </c>
      <c r="N29" s="36">
        <f>(L29-J29)/J29</f>
        <v>-2.3050935907823724E-2</v>
      </c>
    </row>
    <row r="30" spans="2:14">
      <c r="B30" s="515" t="s">
        <v>345</v>
      </c>
      <c r="C30" s="516">
        <f>GETPIVOTDATA("Suma de HOTEL Z4",'[1]tabla dinámica oferta alojativa'!$A$4,"PAIS/INDICADOR","plazas I semestre","AÑO",2009)</f>
        <v>65968</v>
      </c>
      <c r="D30" s="39">
        <f>C30/$C$29</f>
        <v>0.44574780058651026</v>
      </c>
      <c r="E30" s="516">
        <f>GETPIVOTDATA("Suma de HOTEL Z4",'[1]tabla dinámica oferta alojativa'!$A$4,"PAIS/INDICADOR","plazas I semestre","AÑO",2010)</f>
        <v>64882</v>
      </c>
      <c r="F30" s="39">
        <f>E30/$E$29</f>
        <v>0.45159179809847294</v>
      </c>
      <c r="G30" s="40">
        <f>(E30-C30)/C30</f>
        <v>-1.6462527285956829E-2</v>
      </c>
      <c r="I30" s="515" t="s">
        <v>345</v>
      </c>
      <c r="J30" s="516">
        <f>GETPIVOTDATA("Suma de HOTEL Z4",'[1]tabla dinámica oferta alojativa'!$A$4,"PAIS/INDICADOR","plazas II semestre","AÑO",2009)</f>
        <v>65407</v>
      </c>
      <c r="K30" s="39">
        <f>J30/$J$29</f>
        <v>0.44911902440364199</v>
      </c>
      <c r="L30" s="516">
        <f>GETPIVOTDATA("Suma de HOTEL Z4",'[1]tabla dinámica oferta alojativa'!$A$4,"PAIS/INDICADOR","plazas II semestre","AÑO",2010)</f>
        <v>64849</v>
      </c>
      <c r="M30" s="39">
        <f>L30/$L$29</f>
        <v>0.45579397935014093</v>
      </c>
      <c r="N30" s="40">
        <f>(L30-J30)/J30</f>
        <v>-8.5311969666855229E-3</v>
      </c>
    </row>
    <row r="31" spans="2:14">
      <c r="B31" s="517" t="s">
        <v>346</v>
      </c>
      <c r="C31" s="518">
        <f>GETPIVOTDATA("Suma de EXTRA-H Z4",'[1]tabla dinámica oferta alojativa'!$A$4,"PAIS/INDICADOR","plazas I semestre","AÑO",2009)</f>
        <v>82026</v>
      </c>
      <c r="D31" s="39">
        <f>C31/$C$29</f>
        <v>0.55425219941348969</v>
      </c>
      <c r="E31" s="518">
        <f>GETPIVOTDATA("Suma de EXTRA-H Z4",'[1]tabla dinámica oferta alojativa'!$A$4,"PAIS/INDICADOR","plazas I semestre","AÑO",2010)</f>
        <v>78792</v>
      </c>
      <c r="F31" s="39">
        <f>E31/$E$29</f>
        <v>0.54840820190152706</v>
      </c>
      <c r="G31" s="40">
        <f>(E31-C31)/C31</f>
        <v>-3.9426523297491037E-2</v>
      </c>
      <c r="I31" s="517" t="s">
        <v>346</v>
      </c>
      <c r="J31" s="518">
        <f>GETPIVOTDATA("Suma de EXTRA-H Z4",'[1]tabla dinámica oferta alojativa'!$A$4,"PAIS/INDICADOR","plazas II semestre","AÑO",2009)</f>
        <v>80227</v>
      </c>
      <c r="K31" s="39">
        <f>J31/$J$29</f>
        <v>0.55088097559635796</v>
      </c>
      <c r="L31" s="518">
        <f>GETPIVOTDATA("Suma de EXTRA-H Z4",'[1]tabla dinámica oferta alojativa'!$A$4,"PAIS/INDICADOR","plazas II semestre","AÑO",2010)</f>
        <v>77428</v>
      </c>
      <c r="M31" s="39">
        <f>L31/$L$29</f>
        <v>0.54420602064985912</v>
      </c>
      <c r="N31" s="40">
        <f>(L31-J31)/J31</f>
        <v>-3.4888503870268116E-2</v>
      </c>
    </row>
    <row r="32" spans="2:14">
      <c r="B32" s="525" t="s">
        <v>89</v>
      </c>
      <c r="C32" s="526"/>
      <c r="D32" s="527"/>
      <c r="E32" s="526"/>
      <c r="F32" s="528"/>
      <c r="G32" s="527"/>
      <c r="I32" s="525" t="s">
        <v>89</v>
      </c>
      <c r="J32" s="526"/>
      <c r="K32" s="527"/>
      <c r="L32" s="526"/>
      <c r="M32" s="528"/>
      <c r="N32" s="527"/>
    </row>
    <row r="33" spans="2:14">
      <c r="B33" s="513" t="s">
        <v>344</v>
      </c>
      <c r="C33" s="514">
        <f>GETPIVOTDATA("dato",'[1]tabla dinámica oferta alojativa'!$A$52,"categoría","TOTAL","municipio","ADEJE","mes",1,"año",2009)</f>
        <v>65517</v>
      </c>
      <c r="D33" s="35">
        <f>C33/$C$33</f>
        <v>1</v>
      </c>
      <c r="E33" s="514">
        <f>GETPIVOTDATA("dato",'[1]tabla dinámica oferta alojativa'!$A$52,"categoría","TOTAL","municipio","ADEJE","mes",1,"año",2010)</f>
        <v>63430</v>
      </c>
      <c r="F33" s="35">
        <f>E33/$E$33</f>
        <v>1</v>
      </c>
      <c r="G33" s="36">
        <f>(E33-C33)/C33</f>
        <v>-3.1854327884365888E-2</v>
      </c>
      <c r="I33" s="513" t="s">
        <v>344</v>
      </c>
      <c r="J33" s="514">
        <f>GETPIVOTDATA("dato",'[1]tabla dinámica oferta alojativa'!$A$52,"categoría","TOTAL","municipio","ADEJE","mes",7,"año",2009)</f>
        <v>64757</v>
      </c>
      <c r="K33" s="35">
        <f>J33/$J$33</f>
        <v>1</v>
      </c>
      <c r="L33" s="514">
        <f>GETPIVOTDATA("dato",'[1]tabla dinámica oferta alojativa'!$A$52,"categoría","TOTAL","municipio","ADEJE","mes",7,"año",2010)</f>
        <v>62780</v>
      </c>
      <c r="M33" s="35">
        <f>L33/$L$33</f>
        <v>1</v>
      </c>
      <c r="N33" s="36">
        <f>(L33-J33)/J33</f>
        <v>-3.0529518044381303E-2</v>
      </c>
    </row>
    <row r="34" spans="2:14">
      <c r="B34" s="515" t="s">
        <v>345</v>
      </c>
      <c r="C34" s="516">
        <f>GETPIVOTDATA("dato",'[1]tabla dinámica oferta alojativa'!$A$52,"categoría","Hoteleros","municipio","ADEJE","mes",1,"año",2009)</f>
        <v>33977</v>
      </c>
      <c r="D34" s="39">
        <f>C34/$C$33</f>
        <v>0.51859822641451836</v>
      </c>
      <c r="E34" s="516">
        <f>GETPIVOTDATA("dato",'[1]tabla dinámica oferta alojativa'!$A$52,"categoría","Hoteleros","municipio","ADEJE","mes",1,"año",2010)</f>
        <v>32855</v>
      </c>
      <c r="F34" s="39">
        <f>E34/$E$33</f>
        <v>0.51797256818540127</v>
      </c>
      <c r="G34" s="40">
        <f>(E34-C34)/C34</f>
        <v>-3.3022338640845278E-2</v>
      </c>
      <c r="I34" s="515" t="s">
        <v>345</v>
      </c>
      <c r="J34" s="516">
        <f>GETPIVOTDATA("dato",'[1]tabla dinámica oferta alojativa'!$A$52,"categoría","Hoteleros","municipio","ADEJE","mes",7,"año",2009)</f>
        <v>33507</v>
      </c>
      <c r="K34" s="39">
        <f>J34/$J$33</f>
        <v>0.51742668746235931</v>
      </c>
      <c r="L34" s="516">
        <f>GETPIVOTDATA("dato",'[1]tabla dinámica oferta alojativa'!$A$52,"categoría","Hoteleros","municipio","ADEJE","mes",7,"año",2010)</f>
        <v>32855</v>
      </c>
      <c r="M34" s="39">
        <f>L34/$L$33</f>
        <v>0.52333545715195917</v>
      </c>
      <c r="N34" s="40">
        <f>(L34-J34)/J34</f>
        <v>-1.945862058674307E-2</v>
      </c>
    </row>
    <row r="35" spans="2:14">
      <c r="B35" s="517" t="s">
        <v>346</v>
      </c>
      <c r="C35" s="529">
        <f>GETPIVOTDATA("dato",'[1]tabla dinámica oferta alojativa'!$A$52,"categoría","Extrahoteleros","municipio","ADEJE","mes",1,"año",2009)</f>
        <v>31540</v>
      </c>
      <c r="D35" s="530">
        <f>C35/$C$33</f>
        <v>0.48140177358548164</v>
      </c>
      <c r="E35" s="529">
        <f>GETPIVOTDATA("dato",'[1]tabla dinámica oferta alojativa'!$A$52,"categoría","Extrahoteleros","municipio","ADEJE","mes",1,"año",2010)</f>
        <v>30575</v>
      </c>
      <c r="F35" s="530">
        <f>E35/$E$33</f>
        <v>0.48202743181459878</v>
      </c>
      <c r="G35" s="531">
        <f>(E35-C35)/C35</f>
        <v>-3.0596068484464174E-2</v>
      </c>
      <c r="I35" s="517" t="s">
        <v>346</v>
      </c>
      <c r="J35" s="529">
        <f>GETPIVOTDATA("dato",'[1]tabla dinámica oferta alojativa'!$A$52,"categoría","Extrahoteleros","municipio","ADEJE","mes",7,"año",2009)</f>
        <v>31250</v>
      </c>
      <c r="K35" s="530">
        <f>J35/$J$33</f>
        <v>0.48257331253764074</v>
      </c>
      <c r="L35" s="529">
        <f>GETPIVOTDATA("dato",'[1]tabla dinámica oferta alojativa'!$A$52,"categoría","Extrahoteleros","municipio","ADEJE","mes",7,"año",2010)</f>
        <v>29925</v>
      </c>
      <c r="M35" s="530">
        <f>L35/$L$33</f>
        <v>0.47666454284804077</v>
      </c>
      <c r="N35" s="531">
        <f>(L35-J35)/J35</f>
        <v>-4.24E-2</v>
      </c>
    </row>
    <row r="36" spans="2:14">
      <c r="B36" s="525" t="s">
        <v>305</v>
      </c>
      <c r="C36" s="526"/>
      <c r="D36" s="527"/>
      <c r="E36" s="526"/>
      <c r="F36" s="528"/>
      <c r="G36" s="527"/>
      <c r="I36" s="525" t="s">
        <v>305</v>
      </c>
      <c r="J36" s="526"/>
      <c r="K36" s="527"/>
      <c r="L36" s="526"/>
      <c r="M36" s="528"/>
      <c r="N36" s="527"/>
    </row>
    <row r="37" spans="2:14">
      <c r="B37" s="513" t="s">
        <v>344</v>
      </c>
      <c r="C37" s="514">
        <f>GETPIVOTDATA("dato",'[1]tabla dinámica oferta alojativa'!$A$52,"categoría","TOTAL","municipio","ARONA","mes",1,"año",2009)</f>
        <v>55465</v>
      </c>
      <c r="D37" s="35">
        <f>C37/$C$37</f>
        <v>1</v>
      </c>
      <c r="E37" s="514">
        <f>GETPIVOTDATA("dato",'[1]tabla dinámica oferta alojativa'!$A$52,"categoría","TOTAL","municipio","ARONA","mes",1,"año",2010)</f>
        <v>53697</v>
      </c>
      <c r="F37" s="35">
        <f>E37/$E$37</f>
        <v>1</v>
      </c>
      <c r="G37" s="36">
        <f>(E37-C37)/C37</f>
        <v>-3.1875957811232307E-2</v>
      </c>
      <c r="I37" s="513" t="s">
        <v>344</v>
      </c>
      <c r="J37" s="514">
        <f>GETPIVOTDATA("dato",'[1]tabla dinámica oferta alojativa'!$A$52,"categoría","TOTAL","municipio","ARONA","mes",7,"año",2009)</f>
        <v>54367</v>
      </c>
      <c r="K37" s="35">
        <f>J37/$J$37</f>
        <v>1</v>
      </c>
      <c r="L37" s="514">
        <f>GETPIVOTDATA("dato",'[1]tabla dinámica oferta alojativa'!$A$52,"categoría","TOTAL","municipio","ARONA","mes",7,"año",2010)</f>
        <v>53044</v>
      </c>
      <c r="M37" s="35">
        <f>L37/$L$37</f>
        <v>1</v>
      </c>
      <c r="N37" s="36">
        <f>(L37-J37)/J37</f>
        <v>-2.4334614747916934E-2</v>
      </c>
    </row>
    <row r="38" spans="2:14">
      <c r="B38" s="515" t="s">
        <v>345</v>
      </c>
      <c r="C38" s="516">
        <f>GETPIVOTDATA("dato",'[1]tabla dinámica oferta alojativa'!$A$52,"categoría","Hoteleros","municipio","ARONA","mes",1,"año",2009)</f>
        <v>20292</v>
      </c>
      <c r="D38" s="39">
        <f>C38/$C$37</f>
        <v>0.36585233931308031</v>
      </c>
      <c r="E38" s="516">
        <f>GETPIVOTDATA("dato",'[1]tabla dinámica oferta alojativa'!$A$52,"categoría","Hoteleros","municipio","ARONA","mes",1,"año",2010)</f>
        <v>20363</v>
      </c>
      <c r="F38" s="39">
        <f>E38/$E$37</f>
        <v>0.37922044062051885</v>
      </c>
      <c r="G38" s="40">
        <f>(E38-C38)/C38</f>
        <v>3.4989158288980878E-3</v>
      </c>
      <c r="I38" s="515" t="s">
        <v>345</v>
      </c>
      <c r="J38" s="516">
        <f>GETPIVOTDATA("dato",'[1]tabla dinámica oferta alojativa'!$A$52,"categoría","Hoteleros","municipio","ARONA","mes",7,"año",2009)</f>
        <v>20236</v>
      </c>
      <c r="K38" s="39">
        <f>J38/$J$37</f>
        <v>0.37221108392958963</v>
      </c>
      <c r="L38" s="516">
        <f>GETPIVOTDATA("dato",'[1]tabla dinámica oferta alojativa'!$A$52,"categoría","Hoteleros","municipio","ARONA","mes",7,"año",2010)</f>
        <v>20332</v>
      </c>
      <c r="M38" s="39">
        <f>L38/$L$37</f>
        <v>0.38330442651383756</v>
      </c>
      <c r="N38" s="40">
        <f>(L38-J38)/J38</f>
        <v>4.7440205574224154E-3</v>
      </c>
    </row>
    <row r="39" spans="2:14">
      <c r="B39" s="517" t="s">
        <v>346</v>
      </c>
      <c r="C39" s="529">
        <f>GETPIVOTDATA("dato",'[1]tabla dinámica oferta alojativa'!$A$52,"categoría","Extrahoteleros","municipio","ARONA","mes",1,"año",2009)</f>
        <v>35173</v>
      </c>
      <c r="D39" s="530">
        <f>C39/$C$37</f>
        <v>0.63414766068691963</v>
      </c>
      <c r="E39" s="529">
        <f>GETPIVOTDATA("dato",'[1]tabla dinámica oferta alojativa'!$A$52,"categoría","Extrahoteleros","municipio","ARONA","mes",1,"año",2010)</f>
        <v>33334</v>
      </c>
      <c r="F39" s="530">
        <f>E39/$E$37</f>
        <v>0.62077955937948115</v>
      </c>
      <c r="G39" s="531">
        <f>(E39-C39)/C39</f>
        <v>-5.228442271060188E-2</v>
      </c>
      <c r="I39" s="517" t="s">
        <v>346</v>
      </c>
      <c r="J39" s="529">
        <f>GETPIVOTDATA("dato",'[1]tabla dinámica oferta alojativa'!$A$52,"categoría","Extrahoteleros","municipio","ARONA","mes",7,"año",2009)</f>
        <v>34131</v>
      </c>
      <c r="K39" s="530">
        <f>J39/$J$37</f>
        <v>0.62778891607041032</v>
      </c>
      <c r="L39" s="529">
        <f>GETPIVOTDATA("dato",'[1]tabla dinámica oferta alojativa'!$A$52,"categoría","Extrahoteleros","municipio","ARONA","mes",7,"año",2010)</f>
        <v>32712</v>
      </c>
      <c r="M39" s="530">
        <f>L39/$L$37</f>
        <v>0.61669557348616244</v>
      </c>
      <c r="N39" s="531">
        <f>(L39-J39)/J39</f>
        <v>-4.1575107673376112E-2</v>
      </c>
    </row>
    <row r="40" spans="2:14" ht="44.25" customHeight="1">
      <c r="B40" s="238" t="s">
        <v>351</v>
      </c>
      <c r="C40" s="239"/>
      <c r="D40" s="239"/>
      <c r="E40" s="239"/>
      <c r="F40" s="239"/>
      <c r="G40" s="240"/>
      <c r="I40" s="238" t="s">
        <v>351</v>
      </c>
      <c r="J40" s="239"/>
      <c r="K40" s="239"/>
      <c r="L40" s="239"/>
      <c r="M40" s="239"/>
      <c r="N40" s="240"/>
    </row>
    <row r="41" spans="2:14">
      <c r="B41" s="23"/>
    </row>
    <row r="42" spans="2:14">
      <c r="B42" s="23"/>
    </row>
    <row r="43" spans="2:14">
      <c r="B43" s="23"/>
    </row>
    <row r="44" spans="2:14">
      <c r="B44" s="23"/>
    </row>
    <row r="45" spans="2:14" ht="27.75" customHeight="1"/>
    <row r="46" spans="2:14" ht="36" customHeight="1"/>
    <row r="47" spans="2:14" ht="15" customHeight="1"/>
    <row r="51" ht="15" customHeight="1"/>
    <row r="55" ht="15" customHeight="1"/>
    <row r="59" ht="15" customHeight="1"/>
    <row r="63" ht="15" customHeight="1"/>
    <row r="67" spans="2:11" ht="44.25" customHeight="1"/>
    <row r="68" spans="2:11" ht="15" customHeight="1" thickBot="1"/>
    <row r="69" spans="2:11" ht="30" customHeight="1" thickBot="1">
      <c r="B69" s="12"/>
      <c r="C69" s="12"/>
      <c r="D69" s="12"/>
      <c r="F69" s="12"/>
      <c r="G69" s="60" t="s">
        <v>49</v>
      </c>
      <c r="H69" s="12"/>
      <c r="I69" s="12"/>
      <c r="J69" s="12"/>
      <c r="K69" s="12"/>
    </row>
  </sheetData>
  <mergeCells count="4">
    <mergeCell ref="B6:G6"/>
    <mergeCell ref="I6:N6"/>
    <mergeCell ref="B40:G40"/>
    <mergeCell ref="I40:N40"/>
  </mergeCells>
  <hyperlinks>
    <hyperlink ref="G69" location="'Graf plazas estim zona tipologí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rowBreaks count="2" manualBreakCount="2">
    <brk id="68" min="1" max="7" man="1"/>
    <brk id="118" min="1" max="7" man="1"/>
  </rowBreaks>
  <colBreaks count="1" manualBreakCount="1">
    <brk id="15" max="1048575" man="1"/>
  </colBreaks>
  <drawing r:id="rId2"/>
  <legacyDrawingHF r:id="rId3"/>
</worksheet>
</file>

<file path=xl/worksheets/sheet94.xml><?xml version="1.0" encoding="utf-8"?>
<worksheet xmlns="http://schemas.openxmlformats.org/spreadsheetml/2006/main" xmlns:r="http://schemas.openxmlformats.org/officeDocument/2006/relationships">
  <sheetPr codeName="Hoja64">
    <tabColor rgb="FF000099"/>
    <pageSetUpPr autoPageBreaks="0" fitToPage="1"/>
  </sheetPr>
  <dimension ref="B54:L56"/>
  <sheetViews>
    <sheetView showGridLines="0" showRowColHeaders="0" showOutlineSymbols="0" zoomScaleNormal="100" workbookViewId="0">
      <selection activeCell="B25" sqref="B25"/>
    </sheetView>
  </sheetViews>
  <sheetFormatPr baseColWidth="10" defaultRowHeight="12.75"/>
  <cols>
    <col min="1" max="1" width="15.7109375" style="2" customWidth="1"/>
    <col min="2" max="8" width="11.42578125" style="2"/>
    <col min="9" max="9" width="12.42578125" style="2" customWidth="1"/>
    <col min="10" max="256" width="11.42578125" style="2"/>
    <col min="257" max="257" width="15.7109375" style="2" customWidth="1"/>
    <col min="258" max="264" width="11.42578125" style="2"/>
    <col min="265" max="265" width="12.42578125" style="2" customWidth="1"/>
    <col min="266" max="512" width="11.42578125" style="2"/>
    <col min="513" max="513" width="15.7109375" style="2" customWidth="1"/>
    <col min="514" max="520" width="11.42578125" style="2"/>
    <col min="521" max="521" width="12.42578125" style="2" customWidth="1"/>
    <col min="522" max="768" width="11.42578125" style="2"/>
    <col min="769" max="769" width="15.7109375" style="2" customWidth="1"/>
    <col min="770" max="776" width="11.42578125" style="2"/>
    <col min="777" max="777" width="12.42578125" style="2" customWidth="1"/>
    <col min="778" max="1024" width="11.42578125" style="2"/>
    <col min="1025" max="1025" width="15.7109375" style="2" customWidth="1"/>
    <col min="1026" max="1032" width="11.42578125" style="2"/>
    <col min="1033" max="1033" width="12.42578125" style="2" customWidth="1"/>
    <col min="1034" max="1280" width="11.42578125" style="2"/>
    <col min="1281" max="1281" width="15.7109375" style="2" customWidth="1"/>
    <col min="1282" max="1288" width="11.42578125" style="2"/>
    <col min="1289" max="1289" width="12.42578125" style="2" customWidth="1"/>
    <col min="1290" max="1536" width="11.42578125" style="2"/>
    <col min="1537" max="1537" width="15.7109375" style="2" customWidth="1"/>
    <col min="1538" max="1544" width="11.42578125" style="2"/>
    <col min="1545" max="1545" width="12.42578125" style="2" customWidth="1"/>
    <col min="1546" max="1792" width="11.42578125" style="2"/>
    <col min="1793" max="1793" width="15.7109375" style="2" customWidth="1"/>
    <col min="1794" max="1800" width="11.42578125" style="2"/>
    <col min="1801" max="1801" width="12.42578125" style="2" customWidth="1"/>
    <col min="1802" max="2048" width="11.42578125" style="2"/>
    <col min="2049" max="2049" width="15.7109375" style="2" customWidth="1"/>
    <col min="2050" max="2056" width="11.42578125" style="2"/>
    <col min="2057" max="2057" width="12.42578125" style="2" customWidth="1"/>
    <col min="2058" max="2304" width="11.42578125" style="2"/>
    <col min="2305" max="2305" width="15.7109375" style="2" customWidth="1"/>
    <col min="2306" max="2312" width="11.42578125" style="2"/>
    <col min="2313" max="2313" width="12.42578125" style="2" customWidth="1"/>
    <col min="2314" max="2560" width="11.42578125" style="2"/>
    <col min="2561" max="2561" width="15.7109375" style="2" customWidth="1"/>
    <col min="2562" max="2568" width="11.42578125" style="2"/>
    <col min="2569" max="2569" width="12.42578125" style="2" customWidth="1"/>
    <col min="2570" max="2816" width="11.42578125" style="2"/>
    <col min="2817" max="2817" width="15.7109375" style="2" customWidth="1"/>
    <col min="2818" max="2824" width="11.42578125" style="2"/>
    <col min="2825" max="2825" width="12.42578125" style="2" customWidth="1"/>
    <col min="2826" max="3072" width="11.42578125" style="2"/>
    <col min="3073" max="3073" width="15.7109375" style="2" customWidth="1"/>
    <col min="3074" max="3080" width="11.42578125" style="2"/>
    <col min="3081" max="3081" width="12.42578125" style="2" customWidth="1"/>
    <col min="3082" max="3328" width="11.42578125" style="2"/>
    <col min="3329" max="3329" width="15.7109375" style="2" customWidth="1"/>
    <col min="3330" max="3336" width="11.42578125" style="2"/>
    <col min="3337" max="3337" width="12.42578125" style="2" customWidth="1"/>
    <col min="3338" max="3584" width="11.42578125" style="2"/>
    <col min="3585" max="3585" width="15.7109375" style="2" customWidth="1"/>
    <col min="3586" max="3592" width="11.42578125" style="2"/>
    <col min="3593" max="3593" width="12.42578125" style="2" customWidth="1"/>
    <col min="3594" max="3840" width="11.42578125" style="2"/>
    <col min="3841" max="3841" width="15.7109375" style="2" customWidth="1"/>
    <col min="3842" max="3848" width="11.42578125" style="2"/>
    <col min="3849" max="3849" width="12.42578125" style="2" customWidth="1"/>
    <col min="3850" max="4096" width="11.42578125" style="2"/>
    <col min="4097" max="4097" width="15.7109375" style="2" customWidth="1"/>
    <col min="4098" max="4104" width="11.42578125" style="2"/>
    <col min="4105" max="4105" width="12.42578125" style="2" customWidth="1"/>
    <col min="4106" max="4352" width="11.42578125" style="2"/>
    <col min="4353" max="4353" width="15.7109375" style="2" customWidth="1"/>
    <col min="4354" max="4360" width="11.42578125" style="2"/>
    <col min="4361" max="4361" width="12.42578125" style="2" customWidth="1"/>
    <col min="4362" max="4608" width="11.42578125" style="2"/>
    <col min="4609" max="4609" width="15.7109375" style="2" customWidth="1"/>
    <col min="4610" max="4616" width="11.42578125" style="2"/>
    <col min="4617" max="4617" width="12.42578125" style="2" customWidth="1"/>
    <col min="4618" max="4864" width="11.42578125" style="2"/>
    <col min="4865" max="4865" width="15.7109375" style="2" customWidth="1"/>
    <col min="4866" max="4872" width="11.42578125" style="2"/>
    <col min="4873" max="4873" width="12.42578125" style="2" customWidth="1"/>
    <col min="4874" max="5120" width="11.42578125" style="2"/>
    <col min="5121" max="5121" width="15.7109375" style="2" customWidth="1"/>
    <col min="5122" max="5128" width="11.42578125" style="2"/>
    <col min="5129" max="5129" width="12.42578125" style="2" customWidth="1"/>
    <col min="5130" max="5376" width="11.42578125" style="2"/>
    <col min="5377" max="5377" width="15.7109375" style="2" customWidth="1"/>
    <col min="5378" max="5384" width="11.42578125" style="2"/>
    <col min="5385" max="5385" width="12.42578125" style="2" customWidth="1"/>
    <col min="5386" max="5632" width="11.42578125" style="2"/>
    <col min="5633" max="5633" width="15.7109375" style="2" customWidth="1"/>
    <col min="5634" max="5640" width="11.42578125" style="2"/>
    <col min="5641" max="5641" width="12.42578125" style="2" customWidth="1"/>
    <col min="5642" max="5888" width="11.42578125" style="2"/>
    <col min="5889" max="5889" width="15.7109375" style="2" customWidth="1"/>
    <col min="5890" max="5896" width="11.42578125" style="2"/>
    <col min="5897" max="5897" width="12.42578125" style="2" customWidth="1"/>
    <col min="5898" max="6144" width="11.42578125" style="2"/>
    <col min="6145" max="6145" width="15.7109375" style="2" customWidth="1"/>
    <col min="6146" max="6152" width="11.42578125" style="2"/>
    <col min="6153" max="6153" width="12.42578125" style="2" customWidth="1"/>
    <col min="6154" max="6400" width="11.42578125" style="2"/>
    <col min="6401" max="6401" width="15.7109375" style="2" customWidth="1"/>
    <col min="6402" max="6408" width="11.42578125" style="2"/>
    <col min="6409" max="6409" width="12.42578125" style="2" customWidth="1"/>
    <col min="6410" max="6656" width="11.42578125" style="2"/>
    <col min="6657" max="6657" width="15.7109375" style="2" customWidth="1"/>
    <col min="6658" max="6664" width="11.42578125" style="2"/>
    <col min="6665" max="6665" width="12.42578125" style="2" customWidth="1"/>
    <col min="6666" max="6912" width="11.42578125" style="2"/>
    <col min="6913" max="6913" width="15.7109375" style="2" customWidth="1"/>
    <col min="6914" max="6920" width="11.42578125" style="2"/>
    <col min="6921" max="6921" width="12.42578125" style="2" customWidth="1"/>
    <col min="6922" max="7168" width="11.42578125" style="2"/>
    <col min="7169" max="7169" width="15.7109375" style="2" customWidth="1"/>
    <col min="7170" max="7176" width="11.42578125" style="2"/>
    <col min="7177" max="7177" width="12.42578125" style="2" customWidth="1"/>
    <col min="7178" max="7424" width="11.42578125" style="2"/>
    <col min="7425" max="7425" width="15.7109375" style="2" customWidth="1"/>
    <col min="7426" max="7432" width="11.42578125" style="2"/>
    <col min="7433" max="7433" width="12.42578125" style="2" customWidth="1"/>
    <col min="7434" max="7680" width="11.42578125" style="2"/>
    <col min="7681" max="7681" width="15.7109375" style="2" customWidth="1"/>
    <col min="7682" max="7688" width="11.42578125" style="2"/>
    <col min="7689" max="7689" width="12.42578125" style="2" customWidth="1"/>
    <col min="7690" max="7936" width="11.42578125" style="2"/>
    <col min="7937" max="7937" width="15.7109375" style="2" customWidth="1"/>
    <col min="7938" max="7944" width="11.42578125" style="2"/>
    <col min="7945" max="7945" width="12.42578125" style="2" customWidth="1"/>
    <col min="7946" max="8192" width="11.42578125" style="2"/>
    <col min="8193" max="8193" width="15.7109375" style="2" customWidth="1"/>
    <col min="8194" max="8200" width="11.42578125" style="2"/>
    <col min="8201" max="8201" width="12.42578125" style="2" customWidth="1"/>
    <col min="8202" max="8448" width="11.42578125" style="2"/>
    <col min="8449" max="8449" width="15.7109375" style="2" customWidth="1"/>
    <col min="8450" max="8456" width="11.42578125" style="2"/>
    <col min="8457" max="8457" width="12.42578125" style="2" customWidth="1"/>
    <col min="8458" max="8704" width="11.42578125" style="2"/>
    <col min="8705" max="8705" width="15.7109375" style="2" customWidth="1"/>
    <col min="8706" max="8712" width="11.42578125" style="2"/>
    <col min="8713" max="8713" width="12.42578125" style="2" customWidth="1"/>
    <col min="8714" max="8960" width="11.42578125" style="2"/>
    <col min="8961" max="8961" width="15.7109375" style="2" customWidth="1"/>
    <col min="8962" max="8968" width="11.42578125" style="2"/>
    <col min="8969" max="8969" width="12.42578125" style="2" customWidth="1"/>
    <col min="8970" max="9216" width="11.42578125" style="2"/>
    <col min="9217" max="9217" width="15.7109375" style="2" customWidth="1"/>
    <col min="9218" max="9224" width="11.42578125" style="2"/>
    <col min="9225" max="9225" width="12.42578125" style="2" customWidth="1"/>
    <col min="9226" max="9472" width="11.42578125" style="2"/>
    <col min="9473" max="9473" width="15.7109375" style="2" customWidth="1"/>
    <col min="9474" max="9480" width="11.42578125" style="2"/>
    <col min="9481" max="9481" width="12.42578125" style="2" customWidth="1"/>
    <col min="9482" max="9728" width="11.42578125" style="2"/>
    <col min="9729" max="9729" width="15.7109375" style="2" customWidth="1"/>
    <col min="9730" max="9736" width="11.42578125" style="2"/>
    <col min="9737" max="9737" width="12.42578125" style="2" customWidth="1"/>
    <col min="9738" max="9984" width="11.42578125" style="2"/>
    <col min="9985" max="9985" width="15.7109375" style="2" customWidth="1"/>
    <col min="9986" max="9992" width="11.42578125" style="2"/>
    <col min="9993" max="9993" width="12.42578125" style="2" customWidth="1"/>
    <col min="9994" max="10240" width="11.42578125" style="2"/>
    <col min="10241" max="10241" width="15.7109375" style="2" customWidth="1"/>
    <col min="10242" max="10248" width="11.42578125" style="2"/>
    <col min="10249" max="10249" width="12.42578125" style="2" customWidth="1"/>
    <col min="10250" max="10496" width="11.42578125" style="2"/>
    <col min="10497" max="10497" width="15.7109375" style="2" customWidth="1"/>
    <col min="10498" max="10504" width="11.42578125" style="2"/>
    <col min="10505" max="10505" width="12.42578125" style="2" customWidth="1"/>
    <col min="10506" max="10752" width="11.42578125" style="2"/>
    <col min="10753" max="10753" width="15.7109375" style="2" customWidth="1"/>
    <col min="10754" max="10760" width="11.42578125" style="2"/>
    <col min="10761" max="10761" width="12.42578125" style="2" customWidth="1"/>
    <col min="10762" max="11008" width="11.42578125" style="2"/>
    <col min="11009" max="11009" width="15.7109375" style="2" customWidth="1"/>
    <col min="11010" max="11016" width="11.42578125" style="2"/>
    <col min="11017" max="11017" width="12.42578125" style="2" customWidth="1"/>
    <col min="11018" max="11264" width="11.42578125" style="2"/>
    <col min="11265" max="11265" width="15.7109375" style="2" customWidth="1"/>
    <col min="11266" max="11272" width="11.42578125" style="2"/>
    <col min="11273" max="11273" width="12.42578125" style="2" customWidth="1"/>
    <col min="11274" max="11520" width="11.42578125" style="2"/>
    <col min="11521" max="11521" width="15.7109375" style="2" customWidth="1"/>
    <col min="11522" max="11528" width="11.42578125" style="2"/>
    <col min="11529" max="11529" width="12.42578125" style="2" customWidth="1"/>
    <col min="11530" max="11776" width="11.42578125" style="2"/>
    <col min="11777" max="11777" width="15.7109375" style="2" customWidth="1"/>
    <col min="11778" max="11784" width="11.42578125" style="2"/>
    <col min="11785" max="11785" width="12.42578125" style="2" customWidth="1"/>
    <col min="11786" max="12032" width="11.42578125" style="2"/>
    <col min="12033" max="12033" width="15.7109375" style="2" customWidth="1"/>
    <col min="12034" max="12040" width="11.42578125" style="2"/>
    <col min="12041" max="12041" width="12.42578125" style="2" customWidth="1"/>
    <col min="12042" max="12288" width="11.42578125" style="2"/>
    <col min="12289" max="12289" width="15.7109375" style="2" customWidth="1"/>
    <col min="12290" max="12296" width="11.42578125" style="2"/>
    <col min="12297" max="12297" width="12.42578125" style="2" customWidth="1"/>
    <col min="12298" max="12544" width="11.42578125" style="2"/>
    <col min="12545" max="12545" width="15.7109375" style="2" customWidth="1"/>
    <col min="12546" max="12552" width="11.42578125" style="2"/>
    <col min="12553" max="12553" width="12.42578125" style="2" customWidth="1"/>
    <col min="12554" max="12800" width="11.42578125" style="2"/>
    <col min="12801" max="12801" width="15.7109375" style="2" customWidth="1"/>
    <col min="12802" max="12808" width="11.42578125" style="2"/>
    <col min="12809" max="12809" width="12.42578125" style="2" customWidth="1"/>
    <col min="12810" max="13056" width="11.42578125" style="2"/>
    <col min="13057" max="13057" width="15.7109375" style="2" customWidth="1"/>
    <col min="13058" max="13064" width="11.42578125" style="2"/>
    <col min="13065" max="13065" width="12.42578125" style="2" customWidth="1"/>
    <col min="13066" max="13312" width="11.42578125" style="2"/>
    <col min="13313" max="13313" width="15.7109375" style="2" customWidth="1"/>
    <col min="13314" max="13320" width="11.42578125" style="2"/>
    <col min="13321" max="13321" width="12.42578125" style="2" customWidth="1"/>
    <col min="13322" max="13568" width="11.42578125" style="2"/>
    <col min="13569" max="13569" width="15.7109375" style="2" customWidth="1"/>
    <col min="13570" max="13576" width="11.42578125" style="2"/>
    <col min="13577" max="13577" width="12.42578125" style="2" customWidth="1"/>
    <col min="13578" max="13824" width="11.42578125" style="2"/>
    <col min="13825" max="13825" width="15.7109375" style="2" customWidth="1"/>
    <col min="13826" max="13832" width="11.42578125" style="2"/>
    <col min="13833" max="13833" width="12.42578125" style="2" customWidth="1"/>
    <col min="13834" max="14080" width="11.42578125" style="2"/>
    <col min="14081" max="14081" width="15.7109375" style="2" customWidth="1"/>
    <col min="14082" max="14088" width="11.42578125" style="2"/>
    <col min="14089" max="14089" width="12.42578125" style="2" customWidth="1"/>
    <col min="14090" max="14336" width="11.42578125" style="2"/>
    <col min="14337" max="14337" width="15.7109375" style="2" customWidth="1"/>
    <col min="14338" max="14344" width="11.42578125" style="2"/>
    <col min="14345" max="14345" width="12.42578125" style="2" customWidth="1"/>
    <col min="14346" max="14592" width="11.42578125" style="2"/>
    <col min="14593" max="14593" width="15.7109375" style="2" customWidth="1"/>
    <col min="14594" max="14600" width="11.42578125" style="2"/>
    <col min="14601" max="14601" width="12.42578125" style="2" customWidth="1"/>
    <col min="14602" max="14848" width="11.42578125" style="2"/>
    <col min="14849" max="14849" width="15.7109375" style="2" customWidth="1"/>
    <col min="14850" max="14856" width="11.42578125" style="2"/>
    <col min="14857" max="14857" width="12.42578125" style="2" customWidth="1"/>
    <col min="14858" max="15104" width="11.42578125" style="2"/>
    <col min="15105" max="15105" width="15.7109375" style="2" customWidth="1"/>
    <col min="15106" max="15112" width="11.42578125" style="2"/>
    <col min="15113" max="15113" width="12.42578125" style="2" customWidth="1"/>
    <col min="15114" max="15360" width="11.42578125" style="2"/>
    <col min="15361" max="15361" width="15.7109375" style="2" customWidth="1"/>
    <col min="15362" max="15368" width="11.42578125" style="2"/>
    <col min="15369" max="15369" width="12.42578125" style="2" customWidth="1"/>
    <col min="15370" max="15616" width="11.42578125" style="2"/>
    <col min="15617" max="15617" width="15.7109375" style="2" customWidth="1"/>
    <col min="15618" max="15624" width="11.42578125" style="2"/>
    <col min="15625" max="15625" width="12.42578125" style="2" customWidth="1"/>
    <col min="15626" max="15872" width="11.42578125" style="2"/>
    <col min="15873" max="15873" width="15.7109375" style="2" customWidth="1"/>
    <col min="15874" max="15880" width="11.42578125" style="2"/>
    <col min="15881" max="15881" width="12.42578125" style="2" customWidth="1"/>
    <col min="15882" max="16128" width="11.42578125" style="2"/>
    <col min="16129" max="16129" width="15.7109375" style="2" customWidth="1"/>
    <col min="16130" max="16136" width="11.42578125" style="2"/>
    <col min="16137" max="16137" width="12.42578125" style="2" customWidth="1"/>
    <col min="16138" max="16384" width="11.42578125" style="2"/>
  </cols>
  <sheetData>
    <row r="54" spans="2:12" ht="19.5" customHeight="1"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</row>
    <row r="55" spans="2:12" ht="15" customHeight="1" thickBot="1"/>
    <row r="56" spans="2:12" ht="30" customHeight="1" thickBot="1">
      <c r="I56" s="60" t="s">
        <v>51</v>
      </c>
    </row>
  </sheetData>
  <hyperlinks>
    <hyperlink ref="I56" location="'Ofe Aloj Estim zona cat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95.xml><?xml version="1.0" encoding="utf-8"?>
<worksheet xmlns="http://schemas.openxmlformats.org/spreadsheetml/2006/main" xmlns:r="http://schemas.openxmlformats.org/officeDocument/2006/relationships">
  <sheetPr codeName="Hoja39">
    <tabColor rgb="FF000099"/>
    <pageSetUpPr autoPageBreaks="0" fitToPage="1"/>
  </sheetPr>
  <dimension ref="C1:Q51"/>
  <sheetViews>
    <sheetView showGridLines="0" showRowColHeaders="0" showOutlineSymbols="0" zoomScaleNormal="100" workbookViewId="0">
      <selection activeCell="B25" sqref="B25"/>
    </sheetView>
  </sheetViews>
  <sheetFormatPr baseColWidth="10" defaultRowHeight="12.75"/>
  <cols>
    <col min="1" max="2" width="11.42578125" style="2"/>
    <col min="3" max="3" width="26.85546875" style="2" customWidth="1"/>
    <col min="4" max="4" width="12.7109375" style="2" customWidth="1"/>
    <col min="5" max="5" width="10.5703125" style="2" customWidth="1"/>
    <col min="6" max="6" width="12.7109375" style="2" customWidth="1"/>
    <col min="7" max="7" width="10.7109375" style="2" customWidth="1"/>
    <col min="8" max="8" width="10.5703125" style="2" customWidth="1"/>
    <col min="9" max="9" width="8.42578125" style="2" customWidth="1"/>
    <col min="10" max="10" width="23.28515625" style="2" customWidth="1"/>
    <col min="11" max="256" width="11.42578125" style="2"/>
    <col min="257" max="257" width="26.85546875" style="2" customWidth="1"/>
    <col min="258" max="258" width="12.7109375" style="2" customWidth="1"/>
    <col min="259" max="259" width="10.5703125" style="2" customWidth="1"/>
    <col min="260" max="260" width="12.7109375" style="2" customWidth="1"/>
    <col min="261" max="261" width="10.7109375" style="2" customWidth="1"/>
    <col min="262" max="262" width="10.5703125" style="2" customWidth="1"/>
    <col min="263" max="263" width="9.28515625" style="2" customWidth="1"/>
    <col min="264" max="512" width="11.42578125" style="2"/>
    <col min="513" max="513" width="26.85546875" style="2" customWidth="1"/>
    <col min="514" max="514" width="12.7109375" style="2" customWidth="1"/>
    <col min="515" max="515" width="10.5703125" style="2" customWidth="1"/>
    <col min="516" max="516" width="12.7109375" style="2" customWidth="1"/>
    <col min="517" max="517" width="10.7109375" style="2" customWidth="1"/>
    <col min="518" max="518" width="10.5703125" style="2" customWidth="1"/>
    <col min="519" max="519" width="9.28515625" style="2" customWidth="1"/>
    <col min="520" max="768" width="11.42578125" style="2"/>
    <col min="769" max="769" width="26.85546875" style="2" customWidth="1"/>
    <col min="770" max="770" width="12.7109375" style="2" customWidth="1"/>
    <col min="771" max="771" width="10.5703125" style="2" customWidth="1"/>
    <col min="772" max="772" width="12.7109375" style="2" customWidth="1"/>
    <col min="773" max="773" width="10.7109375" style="2" customWidth="1"/>
    <col min="774" max="774" width="10.5703125" style="2" customWidth="1"/>
    <col min="775" max="775" width="9.28515625" style="2" customWidth="1"/>
    <col min="776" max="1024" width="11.42578125" style="2"/>
    <col min="1025" max="1025" width="26.85546875" style="2" customWidth="1"/>
    <col min="1026" max="1026" width="12.7109375" style="2" customWidth="1"/>
    <col min="1027" max="1027" width="10.5703125" style="2" customWidth="1"/>
    <col min="1028" max="1028" width="12.7109375" style="2" customWidth="1"/>
    <col min="1029" max="1029" width="10.7109375" style="2" customWidth="1"/>
    <col min="1030" max="1030" width="10.5703125" style="2" customWidth="1"/>
    <col min="1031" max="1031" width="9.28515625" style="2" customWidth="1"/>
    <col min="1032" max="1280" width="11.42578125" style="2"/>
    <col min="1281" max="1281" width="26.85546875" style="2" customWidth="1"/>
    <col min="1282" max="1282" width="12.7109375" style="2" customWidth="1"/>
    <col min="1283" max="1283" width="10.5703125" style="2" customWidth="1"/>
    <col min="1284" max="1284" width="12.7109375" style="2" customWidth="1"/>
    <col min="1285" max="1285" width="10.7109375" style="2" customWidth="1"/>
    <col min="1286" max="1286" width="10.5703125" style="2" customWidth="1"/>
    <col min="1287" max="1287" width="9.28515625" style="2" customWidth="1"/>
    <col min="1288" max="1536" width="11.42578125" style="2"/>
    <col min="1537" max="1537" width="26.85546875" style="2" customWidth="1"/>
    <col min="1538" max="1538" width="12.7109375" style="2" customWidth="1"/>
    <col min="1539" max="1539" width="10.5703125" style="2" customWidth="1"/>
    <col min="1540" max="1540" width="12.7109375" style="2" customWidth="1"/>
    <col min="1541" max="1541" width="10.7109375" style="2" customWidth="1"/>
    <col min="1542" max="1542" width="10.5703125" style="2" customWidth="1"/>
    <col min="1543" max="1543" width="9.28515625" style="2" customWidth="1"/>
    <col min="1544" max="1792" width="11.42578125" style="2"/>
    <col min="1793" max="1793" width="26.85546875" style="2" customWidth="1"/>
    <col min="1794" max="1794" width="12.7109375" style="2" customWidth="1"/>
    <col min="1795" max="1795" width="10.5703125" style="2" customWidth="1"/>
    <col min="1796" max="1796" width="12.7109375" style="2" customWidth="1"/>
    <col min="1797" max="1797" width="10.7109375" style="2" customWidth="1"/>
    <col min="1798" max="1798" width="10.5703125" style="2" customWidth="1"/>
    <col min="1799" max="1799" width="9.28515625" style="2" customWidth="1"/>
    <col min="1800" max="2048" width="11.42578125" style="2"/>
    <col min="2049" max="2049" width="26.85546875" style="2" customWidth="1"/>
    <col min="2050" max="2050" width="12.7109375" style="2" customWidth="1"/>
    <col min="2051" max="2051" width="10.5703125" style="2" customWidth="1"/>
    <col min="2052" max="2052" width="12.7109375" style="2" customWidth="1"/>
    <col min="2053" max="2053" width="10.7109375" style="2" customWidth="1"/>
    <col min="2054" max="2054" width="10.5703125" style="2" customWidth="1"/>
    <col min="2055" max="2055" width="9.28515625" style="2" customWidth="1"/>
    <col min="2056" max="2304" width="11.42578125" style="2"/>
    <col min="2305" max="2305" width="26.85546875" style="2" customWidth="1"/>
    <col min="2306" max="2306" width="12.7109375" style="2" customWidth="1"/>
    <col min="2307" max="2307" width="10.5703125" style="2" customWidth="1"/>
    <col min="2308" max="2308" width="12.7109375" style="2" customWidth="1"/>
    <col min="2309" max="2309" width="10.7109375" style="2" customWidth="1"/>
    <col min="2310" max="2310" width="10.5703125" style="2" customWidth="1"/>
    <col min="2311" max="2311" width="9.28515625" style="2" customWidth="1"/>
    <col min="2312" max="2560" width="11.42578125" style="2"/>
    <col min="2561" max="2561" width="26.85546875" style="2" customWidth="1"/>
    <col min="2562" max="2562" width="12.7109375" style="2" customWidth="1"/>
    <col min="2563" max="2563" width="10.5703125" style="2" customWidth="1"/>
    <col min="2564" max="2564" width="12.7109375" style="2" customWidth="1"/>
    <col min="2565" max="2565" width="10.7109375" style="2" customWidth="1"/>
    <col min="2566" max="2566" width="10.5703125" style="2" customWidth="1"/>
    <col min="2567" max="2567" width="9.28515625" style="2" customWidth="1"/>
    <col min="2568" max="2816" width="11.42578125" style="2"/>
    <col min="2817" max="2817" width="26.85546875" style="2" customWidth="1"/>
    <col min="2818" max="2818" width="12.7109375" style="2" customWidth="1"/>
    <col min="2819" max="2819" width="10.5703125" style="2" customWidth="1"/>
    <col min="2820" max="2820" width="12.7109375" style="2" customWidth="1"/>
    <col min="2821" max="2821" width="10.7109375" style="2" customWidth="1"/>
    <col min="2822" max="2822" width="10.5703125" style="2" customWidth="1"/>
    <col min="2823" max="2823" width="9.28515625" style="2" customWidth="1"/>
    <col min="2824" max="3072" width="11.42578125" style="2"/>
    <col min="3073" max="3073" width="26.85546875" style="2" customWidth="1"/>
    <col min="3074" max="3074" width="12.7109375" style="2" customWidth="1"/>
    <col min="3075" max="3075" width="10.5703125" style="2" customWidth="1"/>
    <col min="3076" max="3076" width="12.7109375" style="2" customWidth="1"/>
    <col min="3077" max="3077" width="10.7109375" style="2" customWidth="1"/>
    <col min="3078" max="3078" width="10.5703125" style="2" customWidth="1"/>
    <col min="3079" max="3079" width="9.28515625" style="2" customWidth="1"/>
    <col min="3080" max="3328" width="11.42578125" style="2"/>
    <col min="3329" max="3329" width="26.85546875" style="2" customWidth="1"/>
    <col min="3330" max="3330" width="12.7109375" style="2" customWidth="1"/>
    <col min="3331" max="3331" width="10.5703125" style="2" customWidth="1"/>
    <col min="3332" max="3332" width="12.7109375" style="2" customWidth="1"/>
    <col min="3333" max="3333" width="10.7109375" style="2" customWidth="1"/>
    <col min="3334" max="3334" width="10.5703125" style="2" customWidth="1"/>
    <col min="3335" max="3335" width="9.28515625" style="2" customWidth="1"/>
    <col min="3336" max="3584" width="11.42578125" style="2"/>
    <col min="3585" max="3585" width="26.85546875" style="2" customWidth="1"/>
    <col min="3586" max="3586" width="12.7109375" style="2" customWidth="1"/>
    <col min="3587" max="3587" width="10.5703125" style="2" customWidth="1"/>
    <col min="3588" max="3588" width="12.7109375" style="2" customWidth="1"/>
    <col min="3589" max="3589" width="10.7109375" style="2" customWidth="1"/>
    <col min="3590" max="3590" width="10.5703125" style="2" customWidth="1"/>
    <col min="3591" max="3591" width="9.28515625" style="2" customWidth="1"/>
    <col min="3592" max="3840" width="11.42578125" style="2"/>
    <col min="3841" max="3841" width="26.85546875" style="2" customWidth="1"/>
    <col min="3842" max="3842" width="12.7109375" style="2" customWidth="1"/>
    <col min="3843" max="3843" width="10.5703125" style="2" customWidth="1"/>
    <col min="3844" max="3844" width="12.7109375" style="2" customWidth="1"/>
    <col min="3845" max="3845" width="10.7109375" style="2" customWidth="1"/>
    <col min="3846" max="3846" width="10.5703125" style="2" customWidth="1"/>
    <col min="3847" max="3847" width="9.28515625" style="2" customWidth="1"/>
    <col min="3848" max="4096" width="11.42578125" style="2"/>
    <col min="4097" max="4097" width="26.85546875" style="2" customWidth="1"/>
    <col min="4098" max="4098" width="12.7109375" style="2" customWidth="1"/>
    <col min="4099" max="4099" width="10.5703125" style="2" customWidth="1"/>
    <col min="4100" max="4100" width="12.7109375" style="2" customWidth="1"/>
    <col min="4101" max="4101" width="10.7109375" style="2" customWidth="1"/>
    <col min="4102" max="4102" width="10.5703125" style="2" customWidth="1"/>
    <col min="4103" max="4103" width="9.28515625" style="2" customWidth="1"/>
    <col min="4104" max="4352" width="11.42578125" style="2"/>
    <col min="4353" max="4353" width="26.85546875" style="2" customWidth="1"/>
    <col min="4354" max="4354" width="12.7109375" style="2" customWidth="1"/>
    <col min="4355" max="4355" width="10.5703125" style="2" customWidth="1"/>
    <col min="4356" max="4356" width="12.7109375" style="2" customWidth="1"/>
    <col min="4357" max="4357" width="10.7109375" style="2" customWidth="1"/>
    <col min="4358" max="4358" width="10.5703125" style="2" customWidth="1"/>
    <col min="4359" max="4359" width="9.28515625" style="2" customWidth="1"/>
    <col min="4360" max="4608" width="11.42578125" style="2"/>
    <col min="4609" max="4609" width="26.85546875" style="2" customWidth="1"/>
    <col min="4610" max="4610" width="12.7109375" style="2" customWidth="1"/>
    <col min="4611" max="4611" width="10.5703125" style="2" customWidth="1"/>
    <col min="4612" max="4612" width="12.7109375" style="2" customWidth="1"/>
    <col min="4613" max="4613" width="10.7109375" style="2" customWidth="1"/>
    <col min="4614" max="4614" width="10.5703125" style="2" customWidth="1"/>
    <col min="4615" max="4615" width="9.28515625" style="2" customWidth="1"/>
    <col min="4616" max="4864" width="11.42578125" style="2"/>
    <col min="4865" max="4865" width="26.85546875" style="2" customWidth="1"/>
    <col min="4866" max="4866" width="12.7109375" style="2" customWidth="1"/>
    <col min="4867" max="4867" width="10.5703125" style="2" customWidth="1"/>
    <col min="4868" max="4868" width="12.7109375" style="2" customWidth="1"/>
    <col min="4869" max="4869" width="10.7109375" style="2" customWidth="1"/>
    <col min="4870" max="4870" width="10.5703125" style="2" customWidth="1"/>
    <col min="4871" max="4871" width="9.28515625" style="2" customWidth="1"/>
    <col min="4872" max="5120" width="11.42578125" style="2"/>
    <col min="5121" max="5121" width="26.85546875" style="2" customWidth="1"/>
    <col min="5122" max="5122" width="12.7109375" style="2" customWidth="1"/>
    <col min="5123" max="5123" width="10.5703125" style="2" customWidth="1"/>
    <col min="5124" max="5124" width="12.7109375" style="2" customWidth="1"/>
    <col min="5125" max="5125" width="10.7109375" style="2" customWidth="1"/>
    <col min="5126" max="5126" width="10.5703125" style="2" customWidth="1"/>
    <col min="5127" max="5127" width="9.28515625" style="2" customWidth="1"/>
    <col min="5128" max="5376" width="11.42578125" style="2"/>
    <col min="5377" max="5377" width="26.85546875" style="2" customWidth="1"/>
    <col min="5378" max="5378" width="12.7109375" style="2" customWidth="1"/>
    <col min="5379" max="5379" width="10.5703125" style="2" customWidth="1"/>
    <col min="5380" max="5380" width="12.7109375" style="2" customWidth="1"/>
    <col min="5381" max="5381" width="10.7109375" style="2" customWidth="1"/>
    <col min="5382" max="5382" width="10.5703125" style="2" customWidth="1"/>
    <col min="5383" max="5383" width="9.28515625" style="2" customWidth="1"/>
    <col min="5384" max="5632" width="11.42578125" style="2"/>
    <col min="5633" max="5633" width="26.85546875" style="2" customWidth="1"/>
    <col min="5634" max="5634" width="12.7109375" style="2" customWidth="1"/>
    <col min="5635" max="5635" width="10.5703125" style="2" customWidth="1"/>
    <col min="5636" max="5636" width="12.7109375" style="2" customWidth="1"/>
    <col min="5637" max="5637" width="10.7109375" style="2" customWidth="1"/>
    <col min="5638" max="5638" width="10.5703125" style="2" customWidth="1"/>
    <col min="5639" max="5639" width="9.28515625" style="2" customWidth="1"/>
    <col min="5640" max="5888" width="11.42578125" style="2"/>
    <col min="5889" max="5889" width="26.85546875" style="2" customWidth="1"/>
    <col min="5890" max="5890" width="12.7109375" style="2" customWidth="1"/>
    <col min="5891" max="5891" width="10.5703125" style="2" customWidth="1"/>
    <col min="5892" max="5892" width="12.7109375" style="2" customWidth="1"/>
    <col min="5893" max="5893" width="10.7109375" style="2" customWidth="1"/>
    <col min="5894" max="5894" width="10.5703125" style="2" customWidth="1"/>
    <col min="5895" max="5895" width="9.28515625" style="2" customWidth="1"/>
    <col min="5896" max="6144" width="11.42578125" style="2"/>
    <col min="6145" max="6145" width="26.85546875" style="2" customWidth="1"/>
    <col min="6146" max="6146" width="12.7109375" style="2" customWidth="1"/>
    <col min="6147" max="6147" width="10.5703125" style="2" customWidth="1"/>
    <col min="6148" max="6148" width="12.7109375" style="2" customWidth="1"/>
    <col min="6149" max="6149" width="10.7109375" style="2" customWidth="1"/>
    <col min="6150" max="6150" width="10.5703125" style="2" customWidth="1"/>
    <col min="6151" max="6151" width="9.28515625" style="2" customWidth="1"/>
    <col min="6152" max="6400" width="11.42578125" style="2"/>
    <col min="6401" max="6401" width="26.85546875" style="2" customWidth="1"/>
    <col min="6402" max="6402" width="12.7109375" style="2" customWidth="1"/>
    <col min="6403" max="6403" width="10.5703125" style="2" customWidth="1"/>
    <col min="6404" max="6404" width="12.7109375" style="2" customWidth="1"/>
    <col min="6405" max="6405" width="10.7109375" style="2" customWidth="1"/>
    <col min="6406" max="6406" width="10.5703125" style="2" customWidth="1"/>
    <col min="6407" max="6407" width="9.28515625" style="2" customWidth="1"/>
    <col min="6408" max="6656" width="11.42578125" style="2"/>
    <col min="6657" max="6657" width="26.85546875" style="2" customWidth="1"/>
    <col min="6658" max="6658" width="12.7109375" style="2" customWidth="1"/>
    <col min="6659" max="6659" width="10.5703125" style="2" customWidth="1"/>
    <col min="6660" max="6660" width="12.7109375" style="2" customWidth="1"/>
    <col min="6661" max="6661" width="10.7109375" style="2" customWidth="1"/>
    <col min="6662" max="6662" width="10.5703125" style="2" customWidth="1"/>
    <col min="6663" max="6663" width="9.28515625" style="2" customWidth="1"/>
    <col min="6664" max="6912" width="11.42578125" style="2"/>
    <col min="6913" max="6913" width="26.85546875" style="2" customWidth="1"/>
    <col min="6914" max="6914" width="12.7109375" style="2" customWidth="1"/>
    <col min="6915" max="6915" width="10.5703125" style="2" customWidth="1"/>
    <col min="6916" max="6916" width="12.7109375" style="2" customWidth="1"/>
    <col min="6917" max="6917" width="10.7109375" style="2" customWidth="1"/>
    <col min="6918" max="6918" width="10.5703125" style="2" customWidth="1"/>
    <col min="6919" max="6919" width="9.28515625" style="2" customWidth="1"/>
    <col min="6920" max="7168" width="11.42578125" style="2"/>
    <col min="7169" max="7169" width="26.85546875" style="2" customWidth="1"/>
    <col min="7170" max="7170" width="12.7109375" style="2" customWidth="1"/>
    <col min="7171" max="7171" width="10.5703125" style="2" customWidth="1"/>
    <col min="7172" max="7172" width="12.7109375" style="2" customWidth="1"/>
    <col min="7173" max="7173" width="10.7109375" style="2" customWidth="1"/>
    <col min="7174" max="7174" width="10.5703125" style="2" customWidth="1"/>
    <col min="7175" max="7175" width="9.28515625" style="2" customWidth="1"/>
    <col min="7176" max="7424" width="11.42578125" style="2"/>
    <col min="7425" max="7425" width="26.85546875" style="2" customWidth="1"/>
    <col min="7426" max="7426" width="12.7109375" style="2" customWidth="1"/>
    <col min="7427" max="7427" width="10.5703125" style="2" customWidth="1"/>
    <col min="7428" max="7428" width="12.7109375" style="2" customWidth="1"/>
    <col min="7429" max="7429" width="10.7109375" style="2" customWidth="1"/>
    <col min="7430" max="7430" width="10.5703125" style="2" customWidth="1"/>
    <col min="7431" max="7431" width="9.28515625" style="2" customWidth="1"/>
    <col min="7432" max="7680" width="11.42578125" style="2"/>
    <col min="7681" max="7681" width="26.85546875" style="2" customWidth="1"/>
    <col min="7682" max="7682" width="12.7109375" style="2" customWidth="1"/>
    <col min="7683" max="7683" width="10.5703125" style="2" customWidth="1"/>
    <col min="7684" max="7684" width="12.7109375" style="2" customWidth="1"/>
    <col min="7685" max="7685" width="10.7109375" style="2" customWidth="1"/>
    <col min="7686" max="7686" width="10.5703125" style="2" customWidth="1"/>
    <col min="7687" max="7687" width="9.28515625" style="2" customWidth="1"/>
    <col min="7688" max="7936" width="11.42578125" style="2"/>
    <col min="7937" max="7937" width="26.85546875" style="2" customWidth="1"/>
    <col min="7938" max="7938" width="12.7109375" style="2" customWidth="1"/>
    <col min="7939" max="7939" width="10.5703125" style="2" customWidth="1"/>
    <col min="7940" max="7940" width="12.7109375" style="2" customWidth="1"/>
    <col min="7941" max="7941" width="10.7109375" style="2" customWidth="1"/>
    <col min="7942" max="7942" width="10.5703125" style="2" customWidth="1"/>
    <col min="7943" max="7943" width="9.28515625" style="2" customWidth="1"/>
    <col min="7944" max="8192" width="11.42578125" style="2"/>
    <col min="8193" max="8193" width="26.85546875" style="2" customWidth="1"/>
    <col min="8194" max="8194" width="12.7109375" style="2" customWidth="1"/>
    <col min="8195" max="8195" width="10.5703125" style="2" customWidth="1"/>
    <col min="8196" max="8196" width="12.7109375" style="2" customWidth="1"/>
    <col min="8197" max="8197" width="10.7109375" style="2" customWidth="1"/>
    <col min="8198" max="8198" width="10.5703125" style="2" customWidth="1"/>
    <col min="8199" max="8199" width="9.28515625" style="2" customWidth="1"/>
    <col min="8200" max="8448" width="11.42578125" style="2"/>
    <col min="8449" max="8449" width="26.85546875" style="2" customWidth="1"/>
    <col min="8450" max="8450" width="12.7109375" style="2" customWidth="1"/>
    <col min="8451" max="8451" width="10.5703125" style="2" customWidth="1"/>
    <col min="8452" max="8452" width="12.7109375" style="2" customWidth="1"/>
    <col min="8453" max="8453" width="10.7109375" style="2" customWidth="1"/>
    <col min="8454" max="8454" width="10.5703125" style="2" customWidth="1"/>
    <col min="8455" max="8455" width="9.28515625" style="2" customWidth="1"/>
    <col min="8456" max="8704" width="11.42578125" style="2"/>
    <col min="8705" max="8705" width="26.85546875" style="2" customWidth="1"/>
    <col min="8706" max="8706" width="12.7109375" style="2" customWidth="1"/>
    <col min="8707" max="8707" width="10.5703125" style="2" customWidth="1"/>
    <col min="8708" max="8708" width="12.7109375" style="2" customWidth="1"/>
    <col min="8709" max="8709" width="10.7109375" style="2" customWidth="1"/>
    <col min="8710" max="8710" width="10.5703125" style="2" customWidth="1"/>
    <col min="8711" max="8711" width="9.28515625" style="2" customWidth="1"/>
    <col min="8712" max="8960" width="11.42578125" style="2"/>
    <col min="8961" max="8961" width="26.85546875" style="2" customWidth="1"/>
    <col min="8962" max="8962" width="12.7109375" style="2" customWidth="1"/>
    <col min="8963" max="8963" width="10.5703125" style="2" customWidth="1"/>
    <col min="8964" max="8964" width="12.7109375" style="2" customWidth="1"/>
    <col min="8965" max="8965" width="10.7109375" style="2" customWidth="1"/>
    <col min="8966" max="8966" width="10.5703125" style="2" customWidth="1"/>
    <col min="8967" max="8967" width="9.28515625" style="2" customWidth="1"/>
    <col min="8968" max="9216" width="11.42578125" style="2"/>
    <col min="9217" max="9217" width="26.85546875" style="2" customWidth="1"/>
    <col min="9218" max="9218" width="12.7109375" style="2" customWidth="1"/>
    <col min="9219" max="9219" width="10.5703125" style="2" customWidth="1"/>
    <col min="9220" max="9220" width="12.7109375" style="2" customWidth="1"/>
    <col min="9221" max="9221" width="10.7109375" style="2" customWidth="1"/>
    <col min="9222" max="9222" width="10.5703125" style="2" customWidth="1"/>
    <col min="9223" max="9223" width="9.28515625" style="2" customWidth="1"/>
    <col min="9224" max="9472" width="11.42578125" style="2"/>
    <col min="9473" max="9473" width="26.85546875" style="2" customWidth="1"/>
    <col min="9474" max="9474" width="12.7109375" style="2" customWidth="1"/>
    <col min="9475" max="9475" width="10.5703125" style="2" customWidth="1"/>
    <col min="9476" max="9476" width="12.7109375" style="2" customWidth="1"/>
    <col min="9477" max="9477" width="10.7109375" style="2" customWidth="1"/>
    <col min="9478" max="9478" width="10.5703125" style="2" customWidth="1"/>
    <col min="9479" max="9479" width="9.28515625" style="2" customWidth="1"/>
    <col min="9480" max="9728" width="11.42578125" style="2"/>
    <col min="9729" max="9729" width="26.85546875" style="2" customWidth="1"/>
    <col min="9730" max="9730" width="12.7109375" style="2" customWidth="1"/>
    <col min="9731" max="9731" width="10.5703125" style="2" customWidth="1"/>
    <col min="9732" max="9732" width="12.7109375" style="2" customWidth="1"/>
    <col min="9733" max="9733" width="10.7109375" style="2" customWidth="1"/>
    <col min="9734" max="9734" width="10.5703125" style="2" customWidth="1"/>
    <col min="9735" max="9735" width="9.28515625" style="2" customWidth="1"/>
    <col min="9736" max="9984" width="11.42578125" style="2"/>
    <col min="9985" max="9985" width="26.85546875" style="2" customWidth="1"/>
    <col min="9986" max="9986" width="12.7109375" style="2" customWidth="1"/>
    <col min="9987" max="9987" width="10.5703125" style="2" customWidth="1"/>
    <col min="9988" max="9988" width="12.7109375" style="2" customWidth="1"/>
    <col min="9989" max="9989" width="10.7109375" style="2" customWidth="1"/>
    <col min="9990" max="9990" width="10.5703125" style="2" customWidth="1"/>
    <col min="9991" max="9991" width="9.28515625" style="2" customWidth="1"/>
    <col min="9992" max="10240" width="11.42578125" style="2"/>
    <col min="10241" max="10241" width="26.85546875" style="2" customWidth="1"/>
    <col min="10242" max="10242" width="12.7109375" style="2" customWidth="1"/>
    <col min="10243" max="10243" width="10.5703125" style="2" customWidth="1"/>
    <col min="10244" max="10244" width="12.7109375" style="2" customWidth="1"/>
    <col min="10245" max="10245" width="10.7109375" style="2" customWidth="1"/>
    <col min="10246" max="10246" width="10.5703125" style="2" customWidth="1"/>
    <col min="10247" max="10247" width="9.28515625" style="2" customWidth="1"/>
    <col min="10248" max="10496" width="11.42578125" style="2"/>
    <col min="10497" max="10497" width="26.85546875" style="2" customWidth="1"/>
    <col min="10498" max="10498" width="12.7109375" style="2" customWidth="1"/>
    <col min="10499" max="10499" width="10.5703125" style="2" customWidth="1"/>
    <col min="10500" max="10500" width="12.7109375" style="2" customWidth="1"/>
    <col min="10501" max="10501" width="10.7109375" style="2" customWidth="1"/>
    <col min="10502" max="10502" width="10.5703125" style="2" customWidth="1"/>
    <col min="10503" max="10503" width="9.28515625" style="2" customWidth="1"/>
    <col min="10504" max="10752" width="11.42578125" style="2"/>
    <col min="10753" max="10753" width="26.85546875" style="2" customWidth="1"/>
    <col min="10754" max="10754" width="12.7109375" style="2" customWidth="1"/>
    <col min="10755" max="10755" width="10.5703125" style="2" customWidth="1"/>
    <col min="10756" max="10756" width="12.7109375" style="2" customWidth="1"/>
    <col min="10757" max="10757" width="10.7109375" style="2" customWidth="1"/>
    <col min="10758" max="10758" width="10.5703125" style="2" customWidth="1"/>
    <col min="10759" max="10759" width="9.28515625" style="2" customWidth="1"/>
    <col min="10760" max="11008" width="11.42578125" style="2"/>
    <col min="11009" max="11009" width="26.85546875" style="2" customWidth="1"/>
    <col min="11010" max="11010" width="12.7109375" style="2" customWidth="1"/>
    <col min="11011" max="11011" width="10.5703125" style="2" customWidth="1"/>
    <col min="11012" max="11012" width="12.7109375" style="2" customWidth="1"/>
    <col min="11013" max="11013" width="10.7109375" style="2" customWidth="1"/>
    <col min="11014" max="11014" width="10.5703125" style="2" customWidth="1"/>
    <col min="11015" max="11015" width="9.28515625" style="2" customWidth="1"/>
    <col min="11016" max="11264" width="11.42578125" style="2"/>
    <col min="11265" max="11265" width="26.85546875" style="2" customWidth="1"/>
    <col min="11266" max="11266" width="12.7109375" style="2" customWidth="1"/>
    <col min="11267" max="11267" width="10.5703125" style="2" customWidth="1"/>
    <col min="11268" max="11268" width="12.7109375" style="2" customWidth="1"/>
    <col min="11269" max="11269" width="10.7109375" style="2" customWidth="1"/>
    <col min="11270" max="11270" width="10.5703125" style="2" customWidth="1"/>
    <col min="11271" max="11271" width="9.28515625" style="2" customWidth="1"/>
    <col min="11272" max="11520" width="11.42578125" style="2"/>
    <col min="11521" max="11521" width="26.85546875" style="2" customWidth="1"/>
    <col min="11522" max="11522" width="12.7109375" style="2" customWidth="1"/>
    <col min="11523" max="11523" width="10.5703125" style="2" customWidth="1"/>
    <col min="11524" max="11524" width="12.7109375" style="2" customWidth="1"/>
    <col min="11525" max="11525" width="10.7109375" style="2" customWidth="1"/>
    <col min="11526" max="11526" width="10.5703125" style="2" customWidth="1"/>
    <col min="11527" max="11527" width="9.28515625" style="2" customWidth="1"/>
    <col min="11528" max="11776" width="11.42578125" style="2"/>
    <col min="11777" max="11777" width="26.85546875" style="2" customWidth="1"/>
    <col min="11778" max="11778" width="12.7109375" style="2" customWidth="1"/>
    <col min="11779" max="11779" width="10.5703125" style="2" customWidth="1"/>
    <col min="11780" max="11780" width="12.7109375" style="2" customWidth="1"/>
    <col min="11781" max="11781" width="10.7109375" style="2" customWidth="1"/>
    <col min="11782" max="11782" width="10.5703125" style="2" customWidth="1"/>
    <col min="11783" max="11783" width="9.28515625" style="2" customWidth="1"/>
    <col min="11784" max="12032" width="11.42578125" style="2"/>
    <col min="12033" max="12033" width="26.85546875" style="2" customWidth="1"/>
    <col min="12034" max="12034" width="12.7109375" style="2" customWidth="1"/>
    <col min="12035" max="12035" width="10.5703125" style="2" customWidth="1"/>
    <col min="12036" max="12036" width="12.7109375" style="2" customWidth="1"/>
    <col min="12037" max="12037" width="10.7109375" style="2" customWidth="1"/>
    <col min="12038" max="12038" width="10.5703125" style="2" customWidth="1"/>
    <col min="12039" max="12039" width="9.28515625" style="2" customWidth="1"/>
    <col min="12040" max="12288" width="11.42578125" style="2"/>
    <col min="12289" max="12289" width="26.85546875" style="2" customWidth="1"/>
    <col min="12290" max="12290" width="12.7109375" style="2" customWidth="1"/>
    <col min="12291" max="12291" width="10.5703125" style="2" customWidth="1"/>
    <col min="12292" max="12292" width="12.7109375" style="2" customWidth="1"/>
    <col min="12293" max="12293" width="10.7109375" style="2" customWidth="1"/>
    <col min="12294" max="12294" width="10.5703125" style="2" customWidth="1"/>
    <col min="12295" max="12295" width="9.28515625" style="2" customWidth="1"/>
    <col min="12296" max="12544" width="11.42578125" style="2"/>
    <col min="12545" max="12545" width="26.85546875" style="2" customWidth="1"/>
    <col min="12546" max="12546" width="12.7109375" style="2" customWidth="1"/>
    <col min="12547" max="12547" width="10.5703125" style="2" customWidth="1"/>
    <col min="12548" max="12548" width="12.7109375" style="2" customWidth="1"/>
    <col min="12549" max="12549" width="10.7109375" style="2" customWidth="1"/>
    <col min="12550" max="12550" width="10.5703125" style="2" customWidth="1"/>
    <col min="12551" max="12551" width="9.28515625" style="2" customWidth="1"/>
    <col min="12552" max="12800" width="11.42578125" style="2"/>
    <col min="12801" max="12801" width="26.85546875" style="2" customWidth="1"/>
    <col min="12802" max="12802" width="12.7109375" style="2" customWidth="1"/>
    <col min="12803" max="12803" width="10.5703125" style="2" customWidth="1"/>
    <col min="12804" max="12804" width="12.7109375" style="2" customWidth="1"/>
    <col min="12805" max="12805" width="10.7109375" style="2" customWidth="1"/>
    <col min="12806" max="12806" width="10.5703125" style="2" customWidth="1"/>
    <col min="12807" max="12807" width="9.28515625" style="2" customWidth="1"/>
    <col min="12808" max="13056" width="11.42578125" style="2"/>
    <col min="13057" max="13057" width="26.85546875" style="2" customWidth="1"/>
    <col min="13058" max="13058" width="12.7109375" style="2" customWidth="1"/>
    <col min="13059" max="13059" width="10.5703125" style="2" customWidth="1"/>
    <col min="13060" max="13060" width="12.7109375" style="2" customWidth="1"/>
    <col min="13061" max="13061" width="10.7109375" style="2" customWidth="1"/>
    <col min="13062" max="13062" width="10.5703125" style="2" customWidth="1"/>
    <col min="13063" max="13063" width="9.28515625" style="2" customWidth="1"/>
    <col min="13064" max="13312" width="11.42578125" style="2"/>
    <col min="13313" max="13313" width="26.85546875" style="2" customWidth="1"/>
    <col min="13314" max="13314" width="12.7109375" style="2" customWidth="1"/>
    <col min="13315" max="13315" width="10.5703125" style="2" customWidth="1"/>
    <col min="13316" max="13316" width="12.7109375" style="2" customWidth="1"/>
    <col min="13317" max="13317" width="10.7109375" style="2" customWidth="1"/>
    <col min="13318" max="13318" width="10.5703125" style="2" customWidth="1"/>
    <col min="13319" max="13319" width="9.28515625" style="2" customWidth="1"/>
    <col min="13320" max="13568" width="11.42578125" style="2"/>
    <col min="13569" max="13569" width="26.85546875" style="2" customWidth="1"/>
    <col min="13570" max="13570" width="12.7109375" style="2" customWidth="1"/>
    <col min="13571" max="13571" width="10.5703125" style="2" customWidth="1"/>
    <col min="13572" max="13572" width="12.7109375" style="2" customWidth="1"/>
    <col min="13573" max="13573" width="10.7109375" style="2" customWidth="1"/>
    <col min="13574" max="13574" width="10.5703125" style="2" customWidth="1"/>
    <col min="13575" max="13575" width="9.28515625" style="2" customWidth="1"/>
    <col min="13576" max="13824" width="11.42578125" style="2"/>
    <col min="13825" max="13825" width="26.85546875" style="2" customWidth="1"/>
    <col min="13826" max="13826" width="12.7109375" style="2" customWidth="1"/>
    <col min="13827" max="13827" width="10.5703125" style="2" customWidth="1"/>
    <col min="13828" max="13828" width="12.7109375" style="2" customWidth="1"/>
    <col min="13829" max="13829" width="10.7109375" style="2" customWidth="1"/>
    <col min="13830" max="13830" width="10.5703125" style="2" customWidth="1"/>
    <col min="13831" max="13831" width="9.28515625" style="2" customWidth="1"/>
    <col min="13832" max="14080" width="11.42578125" style="2"/>
    <col min="14081" max="14081" width="26.85546875" style="2" customWidth="1"/>
    <col min="14082" max="14082" width="12.7109375" style="2" customWidth="1"/>
    <col min="14083" max="14083" width="10.5703125" style="2" customWidth="1"/>
    <col min="14084" max="14084" width="12.7109375" style="2" customWidth="1"/>
    <col min="14085" max="14085" width="10.7109375" style="2" customWidth="1"/>
    <col min="14086" max="14086" width="10.5703125" style="2" customWidth="1"/>
    <col min="14087" max="14087" width="9.28515625" style="2" customWidth="1"/>
    <col min="14088" max="14336" width="11.42578125" style="2"/>
    <col min="14337" max="14337" width="26.85546875" style="2" customWidth="1"/>
    <col min="14338" max="14338" width="12.7109375" style="2" customWidth="1"/>
    <col min="14339" max="14339" width="10.5703125" style="2" customWidth="1"/>
    <col min="14340" max="14340" width="12.7109375" style="2" customWidth="1"/>
    <col min="14341" max="14341" width="10.7109375" style="2" customWidth="1"/>
    <col min="14342" max="14342" width="10.5703125" style="2" customWidth="1"/>
    <col min="14343" max="14343" width="9.28515625" style="2" customWidth="1"/>
    <col min="14344" max="14592" width="11.42578125" style="2"/>
    <col min="14593" max="14593" width="26.85546875" style="2" customWidth="1"/>
    <col min="14594" max="14594" width="12.7109375" style="2" customWidth="1"/>
    <col min="14595" max="14595" width="10.5703125" style="2" customWidth="1"/>
    <col min="14596" max="14596" width="12.7109375" style="2" customWidth="1"/>
    <col min="14597" max="14597" width="10.7109375" style="2" customWidth="1"/>
    <col min="14598" max="14598" width="10.5703125" style="2" customWidth="1"/>
    <col min="14599" max="14599" width="9.28515625" style="2" customWidth="1"/>
    <col min="14600" max="14848" width="11.42578125" style="2"/>
    <col min="14849" max="14849" width="26.85546875" style="2" customWidth="1"/>
    <col min="14850" max="14850" width="12.7109375" style="2" customWidth="1"/>
    <col min="14851" max="14851" width="10.5703125" style="2" customWidth="1"/>
    <col min="14852" max="14852" width="12.7109375" style="2" customWidth="1"/>
    <col min="14853" max="14853" width="10.7109375" style="2" customWidth="1"/>
    <col min="14854" max="14854" width="10.5703125" style="2" customWidth="1"/>
    <col min="14855" max="14855" width="9.28515625" style="2" customWidth="1"/>
    <col min="14856" max="15104" width="11.42578125" style="2"/>
    <col min="15105" max="15105" width="26.85546875" style="2" customWidth="1"/>
    <col min="15106" max="15106" width="12.7109375" style="2" customWidth="1"/>
    <col min="15107" max="15107" width="10.5703125" style="2" customWidth="1"/>
    <col min="15108" max="15108" width="12.7109375" style="2" customWidth="1"/>
    <col min="15109" max="15109" width="10.7109375" style="2" customWidth="1"/>
    <col min="15110" max="15110" width="10.5703125" style="2" customWidth="1"/>
    <col min="15111" max="15111" width="9.28515625" style="2" customWidth="1"/>
    <col min="15112" max="15360" width="11.42578125" style="2"/>
    <col min="15361" max="15361" width="26.85546875" style="2" customWidth="1"/>
    <col min="15362" max="15362" width="12.7109375" style="2" customWidth="1"/>
    <col min="15363" max="15363" width="10.5703125" style="2" customWidth="1"/>
    <col min="15364" max="15364" width="12.7109375" style="2" customWidth="1"/>
    <col min="15365" max="15365" width="10.7109375" style="2" customWidth="1"/>
    <col min="15366" max="15366" width="10.5703125" style="2" customWidth="1"/>
    <col min="15367" max="15367" width="9.28515625" style="2" customWidth="1"/>
    <col min="15368" max="15616" width="11.42578125" style="2"/>
    <col min="15617" max="15617" width="26.85546875" style="2" customWidth="1"/>
    <col min="15618" max="15618" width="12.7109375" style="2" customWidth="1"/>
    <col min="15619" max="15619" width="10.5703125" style="2" customWidth="1"/>
    <col min="15620" max="15620" width="12.7109375" style="2" customWidth="1"/>
    <col min="15621" max="15621" width="10.7109375" style="2" customWidth="1"/>
    <col min="15622" max="15622" width="10.5703125" style="2" customWidth="1"/>
    <col min="15623" max="15623" width="9.28515625" style="2" customWidth="1"/>
    <col min="15624" max="15872" width="11.42578125" style="2"/>
    <col min="15873" max="15873" width="26.85546875" style="2" customWidth="1"/>
    <col min="15874" max="15874" width="12.7109375" style="2" customWidth="1"/>
    <col min="15875" max="15875" width="10.5703125" style="2" customWidth="1"/>
    <col min="15876" max="15876" width="12.7109375" style="2" customWidth="1"/>
    <col min="15877" max="15877" width="10.7109375" style="2" customWidth="1"/>
    <col min="15878" max="15878" width="10.5703125" style="2" customWidth="1"/>
    <col min="15879" max="15879" width="9.28515625" style="2" customWidth="1"/>
    <col min="15880" max="16128" width="11.42578125" style="2"/>
    <col min="16129" max="16129" width="26.85546875" style="2" customWidth="1"/>
    <col min="16130" max="16130" width="12.7109375" style="2" customWidth="1"/>
    <col min="16131" max="16131" width="10.5703125" style="2" customWidth="1"/>
    <col min="16132" max="16132" width="12.7109375" style="2" customWidth="1"/>
    <col min="16133" max="16133" width="10.7109375" style="2" customWidth="1"/>
    <col min="16134" max="16134" width="10.5703125" style="2" customWidth="1"/>
    <col min="16135" max="16135" width="9.28515625" style="2" customWidth="1"/>
    <col min="16136" max="16384" width="11.42578125" style="2"/>
  </cols>
  <sheetData>
    <row r="1" spans="3:17">
      <c r="C1" s="23"/>
    </row>
    <row r="2" spans="3:17">
      <c r="C2" s="23"/>
    </row>
    <row r="3" spans="3:17">
      <c r="C3" s="23"/>
    </row>
    <row r="4" spans="3:17">
      <c r="C4" s="23"/>
    </row>
    <row r="5" spans="3:17">
      <c r="C5" s="23"/>
    </row>
    <row r="6" spans="3:17" ht="27.75" customHeight="1">
      <c r="C6" s="246" t="s">
        <v>352</v>
      </c>
      <c r="D6" s="247"/>
      <c r="E6" s="247"/>
      <c r="F6" s="247"/>
      <c r="G6" s="247"/>
      <c r="H6" s="248"/>
      <c r="J6" s="246" t="s">
        <v>353</v>
      </c>
      <c r="K6" s="247"/>
      <c r="L6" s="247"/>
      <c r="M6" s="247"/>
      <c r="N6" s="247"/>
      <c r="O6" s="248"/>
    </row>
    <row r="7" spans="3:17" ht="24">
      <c r="C7" s="507"/>
      <c r="D7" s="223" t="str">
        <f>actualizaciones!$A$4</f>
        <v>I semestre 2009</v>
      </c>
      <c r="E7" s="508" t="s">
        <v>27</v>
      </c>
      <c r="F7" s="223" t="str">
        <f>actualizaciones!$B$4</f>
        <v>I semestre 2010</v>
      </c>
      <c r="G7" s="508" t="s">
        <v>27</v>
      </c>
      <c r="H7" s="509" t="s">
        <v>28</v>
      </c>
      <c r="J7" s="507"/>
      <c r="K7" s="223" t="str">
        <f>actualizaciones!$A$5</f>
        <v>II semestre 2009</v>
      </c>
      <c r="L7" s="508" t="s">
        <v>27</v>
      </c>
      <c r="M7" s="223" t="str">
        <f>actualizaciones!$B$5</f>
        <v>II semestre 2010</v>
      </c>
      <c r="N7" s="508" t="s">
        <v>27</v>
      </c>
      <c r="O7" s="509" t="s">
        <v>28</v>
      </c>
    </row>
    <row r="8" spans="3:17">
      <c r="C8" s="532" t="s">
        <v>354</v>
      </c>
      <c r="D8" s="514">
        <f>GETPIVOTDATA("dato",'[1]tabla dinámica oferta alojativa'!$A$52,"categoría","TOTAL","municipio","ADEJE","mes",1,"año",2009)</f>
        <v>65517</v>
      </c>
      <c r="E8" s="35">
        <f t="shared" ref="E8:E14" si="0">D8/$D$8</f>
        <v>1</v>
      </c>
      <c r="F8" s="514">
        <f>GETPIVOTDATA("dato",'[1]tabla dinámica oferta alojativa'!$A$52,"categoría","TOTAL","municipio","ADEJE","mes",1,"año",2010)</f>
        <v>63430</v>
      </c>
      <c r="G8" s="35">
        <f t="shared" ref="G8:G14" si="1">F8/$F$8</f>
        <v>1</v>
      </c>
      <c r="H8" s="102">
        <f t="shared" ref="H8:H14" si="2">(F8-D8)/D8</f>
        <v>-3.1854327884365888E-2</v>
      </c>
      <c r="J8" s="532" t="s">
        <v>354</v>
      </c>
      <c r="K8" s="514">
        <f>GETPIVOTDATA("dato",'[1]tabla dinámica oferta alojativa'!$A$52,"categoría","TOTAL","municipio","ADEJE","mes",7,"año",2009)</f>
        <v>64757</v>
      </c>
      <c r="L8" s="35">
        <f t="shared" ref="L8:L14" si="3">K8/$K$8</f>
        <v>1</v>
      </c>
      <c r="M8" s="514">
        <f>GETPIVOTDATA("dato",'[1]tabla dinámica oferta alojativa'!$A$52,"categoría","TOTAL","municipio","ADEJE","mes",7,"año",2010)</f>
        <v>62780</v>
      </c>
      <c r="N8" s="35">
        <f t="shared" ref="N8:N14" si="4">M8/$M$8</f>
        <v>1</v>
      </c>
      <c r="O8" s="102">
        <f t="shared" ref="O8:O14" si="5">(M8-K8)/K8</f>
        <v>-3.0529518044381303E-2</v>
      </c>
    </row>
    <row r="9" spans="3:17">
      <c r="C9" s="533" t="s">
        <v>355</v>
      </c>
      <c r="D9" s="516">
        <f>GETPIVOTDATA("dato",'[1]tabla dinámica oferta alojativa'!$A$52,"categoría","Hoteleros","municipio","ADEJE","mes",1,"año",2009)</f>
        <v>33977</v>
      </c>
      <c r="E9" s="39">
        <f t="shared" si="0"/>
        <v>0.51859822641451836</v>
      </c>
      <c r="F9" s="516">
        <f>GETPIVOTDATA("dato",'[1]tabla dinámica oferta alojativa'!$A$52,"categoría","Hoteleros","municipio","ADEJE","mes",1,"año",2010)</f>
        <v>32855</v>
      </c>
      <c r="G9" s="39">
        <f t="shared" si="1"/>
        <v>0.51797256818540127</v>
      </c>
      <c r="H9" s="113">
        <f t="shared" si="2"/>
        <v>-3.3022338640845278E-2</v>
      </c>
      <c r="J9" s="533" t="s">
        <v>355</v>
      </c>
      <c r="K9" s="516">
        <f>GETPIVOTDATA("dato",'[1]tabla dinámica oferta alojativa'!$A$52,"categoría","Hoteleros","municipio","ADEJE","mes",7,"año",2009)</f>
        <v>33507</v>
      </c>
      <c r="L9" s="39">
        <f t="shared" si="3"/>
        <v>0.51742668746235931</v>
      </c>
      <c r="M9" s="516">
        <f>GETPIVOTDATA("dato",'[1]tabla dinámica oferta alojativa'!$A$52,"categoría","Hoteleros","municipio","ADEJE","mes",7,"año",2010)</f>
        <v>32855</v>
      </c>
      <c r="N9" s="39">
        <f t="shared" si="4"/>
        <v>0.52333545715195917</v>
      </c>
      <c r="O9" s="113">
        <f t="shared" si="5"/>
        <v>-1.945862058674307E-2</v>
      </c>
    </row>
    <row r="10" spans="3:17">
      <c r="C10" s="517" t="s">
        <v>356</v>
      </c>
      <c r="D10" s="516">
        <f>GETPIVOTDATA("dato",'[1]tabla dinámica oferta alojativa'!$A$52,"categoría","5 *","municipio","ADEJE","mes",1,"año",2009)</f>
        <v>4520</v>
      </c>
      <c r="E10" s="39">
        <f t="shared" si="0"/>
        <v>6.89897278568921E-2</v>
      </c>
      <c r="F10" s="516">
        <f>GETPIVOTDATA("dato",'[1]tabla dinámica oferta alojativa'!$A$52,"categoría","5 *","municipio","ADEJE","mes",1,"año",2010)</f>
        <v>4568</v>
      </c>
      <c r="G10" s="39">
        <f t="shared" si="1"/>
        <v>7.20163960271165E-2</v>
      </c>
      <c r="H10" s="113">
        <f t="shared" si="2"/>
        <v>1.0619469026548672E-2</v>
      </c>
      <c r="J10" s="517" t="s">
        <v>356</v>
      </c>
      <c r="K10" s="516">
        <f>GETPIVOTDATA("dato",'[1]tabla dinámica oferta alojativa'!$A$52,"categoría","5 *","municipio","ADEJE","mes",7,"año",2009)</f>
        <v>4520</v>
      </c>
      <c r="L10" s="39">
        <f t="shared" si="3"/>
        <v>6.9799403925444356E-2</v>
      </c>
      <c r="M10" s="516">
        <f>GETPIVOTDATA("dato",'[1]tabla dinámica oferta alojativa'!$A$52,"categoría","5 *","municipio","ADEJE","mes",7,"año",2010)</f>
        <v>4568</v>
      </c>
      <c r="N10" s="39">
        <f t="shared" si="4"/>
        <v>7.2762026122969101E-2</v>
      </c>
      <c r="O10" s="113">
        <f t="shared" si="5"/>
        <v>1.0619469026548672E-2</v>
      </c>
    </row>
    <row r="11" spans="3:17">
      <c r="C11" s="517" t="s">
        <v>357</v>
      </c>
      <c r="D11" s="516">
        <f>GETPIVOTDATA("dato",'[1]tabla dinámica oferta alojativa'!$A$52,"categoría","4 *","municipio","ADEJE","mes",1,"año",2009)</f>
        <v>21699</v>
      </c>
      <c r="E11" s="39">
        <f t="shared" si="0"/>
        <v>0.33119648335546498</v>
      </c>
      <c r="F11" s="516">
        <f>GETPIVOTDATA("dato",'[1]tabla dinámica oferta alojativa'!$A$52,"categoría","4 *","municipio","ADEJE","mes",1,"año",2010)</f>
        <v>21699</v>
      </c>
      <c r="G11" s="39">
        <f t="shared" si="1"/>
        <v>0.34209364653949237</v>
      </c>
      <c r="H11" s="113">
        <f t="shared" si="2"/>
        <v>0</v>
      </c>
      <c r="J11" s="517" t="s">
        <v>357</v>
      </c>
      <c r="K11" s="516">
        <f>GETPIVOTDATA("dato",'[1]tabla dinámica oferta alojativa'!$A$52,"categoría","4 *","municipio","ADEJE","mes",7,"año",2009)</f>
        <v>21699</v>
      </c>
      <c r="L11" s="39">
        <f t="shared" si="3"/>
        <v>0.33508346588013649</v>
      </c>
      <c r="M11" s="516">
        <f>GETPIVOTDATA("dato",'[1]tabla dinámica oferta alojativa'!$A$52,"categoría","4 *","municipio","ADEJE","mes",7,"año",2010)</f>
        <v>21699</v>
      </c>
      <c r="N11" s="39">
        <f t="shared" si="4"/>
        <v>0.34563555272379737</v>
      </c>
      <c r="O11" s="113">
        <f t="shared" si="5"/>
        <v>0</v>
      </c>
    </row>
    <row r="12" spans="3:17">
      <c r="C12" s="517" t="s">
        <v>358</v>
      </c>
      <c r="D12" s="516">
        <f>GETPIVOTDATA("dato",'[1]tabla dinámica oferta alojativa'!$A$52,"categoría","3 *","municipio","ADEJE","mes",1,"año",2009)</f>
        <v>7288</v>
      </c>
      <c r="E12" s="39">
        <f t="shared" si="0"/>
        <v>0.11123830456217471</v>
      </c>
      <c r="F12" s="516">
        <f>GETPIVOTDATA("dato",'[1]tabla dinámica oferta alojativa'!$A$52,"categoría","3 *","municipio","ADEJE","mes",1,"año",2010)</f>
        <v>6118</v>
      </c>
      <c r="G12" s="39">
        <f t="shared" si="1"/>
        <v>9.6452782594986602E-2</v>
      </c>
      <c r="H12" s="113">
        <f t="shared" si="2"/>
        <v>-0.16053787047200879</v>
      </c>
      <c r="J12" s="517" t="s">
        <v>358</v>
      </c>
      <c r="K12" s="516">
        <f>GETPIVOTDATA("dato",'[1]tabla dinámica oferta alojativa'!$A$52,"categoría","3 *","municipio","ADEJE","mes",7,"año",2009)</f>
        <v>6818</v>
      </c>
      <c r="L12" s="39">
        <f t="shared" si="3"/>
        <v>0.1052859150362123</v>
      </c>
      <c r="M12" s="516">
        <f>GETPIVOTDATA("dato",'[1]tabla dinámica oferta alojativa'!$A$52,"categoría","3 *","municipio","ADEJE","mes",7,"año",2010)</f>
        <v>6118</v>
      </c>
      <c r="N12" s="39">
        <f t="shared" si="4"/>
        <v>9.7451417648932781E-2</v>
      </c>
      <c r="O12" s="113">
        <f t="shared" si="5"/>
        <v>-0.10266940451745379</v>
      </c>
    </row>
    <row r="13" spans="3:17">
      <c r="C13" s="517" t="s">
        <v>359</v>
      </c>
      <c r="D13" s="516">
        <f>GETPIVOTDATA("dato",'[1]tabla dinámica oferta alojativa'!$A$52,"categoría","1* y 2 *","municipio","ADEJE","mes",1,"año",2009)</f>
        <v>470</v>
      </c>
      <c r="E13" s="39">
        <f t="shared" si="0"/>
        <v>7.1737106399865688E-3</v>
      </c>
      <c r="F13" s="516">
        <f>GETPIVOTDATA("dato",'[1]tabla dinámica oferta alojativa'!$A$52,"categoría","1* y 2 *","municipio","ADEJE","mes",1,"año",2010)</f>
        <v>470</v>
      </c>
      <c r="G13" s="39">
        <f t="shared" si="1"/>
        <v>7.4097430238057697E-3</v>
      </c>
      <c r="H13" s="113">
        <f t="shared" si="2"/>
        <v>0</v>
      </c>
      <c r="J13" s="517" t="s">
        <v>359</v>
      </c>
      <c r="K13" s="516">
        <f>GETPIVOTDATA("dato",'[1]tabla dinámica oferta alojativa'!$A$52,"categoría","1* y 2 *","municipio","ADEJE","mes",7,"año",2009)</f>
        <v>470</v>
      </c>
      <c r="L13" s="39">
        <f t="shared" si="3"/>
        <v>7.2579026205661168E-3</v>
      </c>
      <c r="M13" s="516">
        <f>GETPIVOTDATA("dato",'[1]tabla dinámica oferta alojativa'!$A$52,"categoría","1* y 2 *","municipio","ADEJE","mes",7,"año",2010)</f>
        <v>470</v>
      </c>
      <c r="N13" s="39">
        <f t="shared" si="4"/>
        <v>7.4864606562599556E-3</v>
      </c>
      <c r="O13" s="113">
        <f t="shared" si="5"/>
        <v>0</v>
      </c>
    </row>
    <row r="14" spans="3:17" ht="13.5" thickBot="1">
      <c r="C14" s="533" t="s">
        <v>360</v>
      </c>
      <c r="D14" s="516">
        <f>GETPIVOTDATA("dato",'[1]tabla dinámica oferta alojativa'!$A$52,"categoría","Extrahoteleros","municipio","ADEJE","mes",1,"año",2009)</f>
        <v>31540</v>
      </c>
      <c r="E14" s="39">
        <f t="shared" si="0"/>
        <v>0.48140177358548164</v>
      </c>
      <c r="F14" s="516">
        <f>GETPIVOTDATA("dato",'[1]tabla dinámica oferta alojativa'!$A$52,"categoría","Extrahoteleros","municipio","ADEJE","mes",1,"año",2010)</f>
        <v>30575</v>
      </c>
      <c r="G14" s="39">
        <f t="shared" si="1"/>
        <v>0.48202743181459878</v>
      </c>
      <c r="H14" s="113">
        <f t="shared" si="2"/>
        <v>-3.0596068484464174E-2</v>
      </c>
      <c r="J14" s="533" t="s">
        <v>360</v>
      </c>
      <c r="K14" s="516">
        <f>GETPIVOTDATA("dato",'[1]tabla dinámica oferta alojativa'!$A$52,"categoría","Extrahoteleros","municipio","ADEJE","mes",7,"año",2009)</f>
        <v>31250</v>
      </c>
      <c r="L14" s="39">
        <f t="shared" si="3"/>
        <v>0.48257331253764074</v>
      </c>
      <c r="M14" s="516">
        <f>GETPIVOTDATA("dato",'[1]tabla dinámica oferta alojativa'!$A$52,"categoría","Extrahoteleros","municipio","ADEJE","mes",7,"año",2010)</f>
        <v>29925</v>
      </c>
      <c r="N14" s="39">
        <f t="shared" si="4"/>
        <v>0.47666454284804077</v>
      </c>
      <c r="O14" s="113">
        <f t="shared" si="5"/>
        <v>-4.24E-2</v>
      </c>
    </row>
    <row r="15" spans="3:17" ht="23.25" customHeight="1" thickBot="1">
      <c r="C15" s="238" t="s">
        <v>361</v>
      </c>
      <c r="D15" s="239"/>
      <c r="E15" s="239"/>
      <c r="F15" s="239"/>
      <c r="G15" s="239"/>
      <c r="H15" s="240"/>
      <c r="J15" s="238" t="s">
        <v>361</v>
      </c>
      <c r="K15" s="239"/>
      <c r="L15" s="239"/>
      <c r="M15" s="239"/>
      <c r="N15" s="239"/>
      <c r="O15" s="240"/>
      <c r="Q15" s="60" t="s">
        <v>119</v>
      </c>
    </row>
    <row r="16" spans="3:17" ht="16.5" thickBot="1">
      <c r="C16" s="23"/>
      <c r="Q16" s="60" t="s">
        <v>120</v>
      </c>
    </row>
    <row r="17" spans="3:15">
      <c r="C17" s="23"/>
    </row>
    <row r="18" spans="3:15">
      <c r="C18" s="23"/>
    </row>
    <row r="19" spans="3:15" ht="27.75" customHeight="1">
      <c r="C19" s="246" t="s">
        <v>362</v>
      </c>
      <c r="D19" s="247"/>
      <c r="E19" s="247"/>
      <c r="F19" s="247"/>
      <c r="G19" s="247"/>
      <c r="H19" s="248"/>
      <c r="J19" s="246" t="s">
        <v>363</v>
      </c>
      <c r="K19" s="247"/>
      <c r="L19" s="247"/>
      <c r="M19" s="247"/>
      <c r="N19" s="247"/>
      <c r="O19" s="248"/>
    </row>
    <row r="20" spans="3:15" ht="24">
      <c r="C20" s="507"/>
      <c r="D20" s="223" t="str">
        <f>actualizaciones!$A$4</f>
        <v>I semestre 2009</v>
      </c>
      <c r="E20" s="508" t="s">
        <v>27</v>
      </c>
      <c r="F20" s="223" t="str">
        <f>actualizaciones!$B$4</f>
        <v>I semestre 2010</v>
      </c>
      <c r="G20" s="508" t="s">
        <v>27</v>
      </c>
      <c r="H20" s="509" t="s">
        <v>28</v>
      </c>
      <c r="J20" s="507"/>
      <c r="K20" s="223" t="str">
        <f>actualizaciones!$A$5</f>
        <v>II semestre 2009</v>
      </c>
      <c r="L20" s="508" t="s">
        <v>27</v>
      </c>
      <c r="M20" s="223" t="str">
        <f>actualizaciones!$B$5</f>
        <v>II semestre 2010</v>
      </c>
      <c r="N20" s="508" t="s">
        <v>27</v>
      </c>
      <c r="O20" s="509" t="s">
        <v>28</v>
      </c>
    </row>
    <row r="21" spans="3:15">
      <c r="C21" s="532" t="s">
        <v>354</v>
      </c>
      <c r="D21" s="514">
        <f>GETPIVOTDATA("dato",'[1]tabla dinámica oferta alojativa'!$A$52,"categoría","TOTAL","municipio","ARONA","mes",1,"año",2009)</f>
        <v>55465</v>
      </c>
      <c r="E21" s="35">
        <f t="shared" ref="E21:E27" si="6">D21/$D$21</f>
        <v>1</v>
      </c>
      <c r="F21" s="514">
        <f>GETPIVOTDATA("dato",'[1]tabla dinámica oferta alojativa'!$A$52,"categoría","TOTAL","municipio","ARONA","mes",1,"año",2010)</f>
        <v>53697</v>
      </c>
      <c r="G21" s="35">
        <f t="shared" ref="G21:G27" si="7">F21/$F$21</f>
        <v>1</v>
      </c>
      <c r="H21" s="102">
        <f t="shared" ref="H21:H27" si="8">(F21-D21)/D21</f>
        <v>-3.1875957811232307E-2</v>
      </c>
      <c r="J21" s="532" t="s">
        <v>354</v>
      </c>
      <c r="K21" s="514">
        <f>GETPIVOTDATA("dato",'[1]tabla dinámica oferta alojativa'!$A$52,"categoría","TOTAL","municipio","ARONA","mes",7,"año",2009)</f>
        <v>54367</v>
      </c>
      <c r="L21" s="35">
        <f t="shared" ref="L21:L27" si="9">K21/$K$21</f>
        <v>1</v>
      </c>
      <c r="M21" s="514">
        <f>GETPIVOTDATA("dato",'[1]tabla dinámica oferta alojativa'!$A$52,"categoría","TOTAL","municipio","ARONA","mes",7,"año",2010)</f>
        <v>53044</v>
      </c>
      <c r="N21" s="35">
        <f t="shared" ref="N21:N27" si="10">M21/$M$21</f>
        <v>1</v>
      </c>
      <c r="O21" s="102">
        <f t="shared" ref="O21:O27" si="11">(M21-K21)/K21</f>
        <v>-2.4334614747916934E-2</v>
      </c>
    </row>
    <row r="22" spans="3:15">
      <c r="C22" s="533" t="s">
        <v>355</v>
      </c>
      <c r="D22" s="516">
        <f>GETPIVOTDATA("dato",'[1]tabla dinámica oferta alojativa'!$A$52,"categoría","Hoteleros","municipio","ARONA","mes",1,"año",2009)</f>
        <v>20292</v>
      </c>
      <c r="E22" s="39">
        <f t="shared" si="6"/>
        <v>0.36585233931308031</v>
      </c>
      <c r="F22" s="516">
        <f>GETPIVOTDATA("dato",'[1]tabla dinámica oferta alojativa'!$A$52,"categoría","Hoteleros","municipio","ARONA","mes",1,"año",2010)</f>
        <v>20363</v>
      </c>
      <c r="G22" s="39">
        <f t="shared" si="7"/>
        <v>0.37922044062051885</v>
      </c>
      <c r="H22" s="113">
        <f t="shared" si="8"/>
        <v>3.4989158288980878E-3</v>
      </c>
      <c r="J22" s="533" t="s">
        <v>355</v>
      </c>
      <c r="K22" s="516">
        <f>GETPIVOTDATA("dato",'[1]tabla dinámica oferta alojativa'!$A$52,"categoría","Hoteleros","municipio","ARONA","mes",7,"año",2009)</f>
        <v>20236</v>
      </c>
      <c r="L22" s="39">
        <f t="shared" si="9"/>
        <v>0.37221108392958963</v>
      </c>
      <c r="M22" s="516">
        <f>GETPIVOTDATA("dato",'[1]tabla dinámica oferta alojativa'!$A$52,"categoría","Hoteleros","municipio","ARONA","mes",7,"año",2010)</f>
        <v>20332</v>
      </c>
      <c r="N22" s="39">
        <f t="shared" si="10"/>
        <v>0.38330442651383756</v>
      </c>
      <c r="O22" s="113">
        <f t="shared" si="11"/>
        <v>4.7440205574224154E-3</v>
      </c>
    </row>
    <row r="23" spans="3:15">
      <c r="C23" s="517" t="s">
        <v>356</v>
      </c>
      <c r="D23" s="516">
        <f>GETPIVOTDATA("dato",'[1]tabla dinámica oferta alojativa'!$A$52,"categoría","5 *","municipio","ARONA","mes",1,"año",2009)</f>
        <v>2483</v>
      </c>
      <c r="E23" s="39">
        <f t="shared" si="6"/>
        <v>4.4766970161363023E-2</v>
      </c>
      <c r="F23" s="516">
        <f>GETPIVOTDATA("dato",'[1]tabla dinámica oferta alojativa'!$A$52,"categoría","5 *","municipio","ARONA","mes",1,"año",2010)</f>
        <v>2483</v>
      </c>
      <c r="G23" s="39">
        <f t="shared" si="7"/>
        <v>4.6240944559286366E-2</v>
      </c>
      <c r="H23" s="113">
        <f t="shared" si="8"/>
        <v>0</v>
      </c>
      <c r="J23" s="517" t="s">
        <v>356</v>
      </c>
      <c r="K23" s="516">
        <f>GETPIVOTDATA("dato",'[1]tabla dinámica oferta alojativa'!$A$52,"categoría","5 *","municipio","ARONA","mes",7,"año",2009)</f>
        <v>2483</v>
      </c>
      <c r="L23" s="39">
        <f t="shared" si="9"/>
        <v>4.5671087240421578E-2</v>
      </c>
      <c r="M23" s="516">
        <f>GETPIVOTDATA("dato",'[1]tabla dinámica oferta alojativa'!$A$52,"categoría","5 *","municipio","ARONA","mes",7,"año",2010)</f>
        <v>2483</v>
      </c>
      <c r="N23" s="39">
        <f t="shared" si="10"/>
        <v>4.6810195309554332E-2</v>
      </c>
      <c r="O23" s="113">
        <f t="shared" si="11"/>
        <v>0</v>
      </c>
    </row>
    <row r="24" spans="3:15">
      <c r="C24" s="517" t="s">
        <v>357</v>
      </c>
      <c r="D24" s="516">
        <f>GETPIVOTDATA("dato",'[1]tabla dinámica oferta alojativa'!$A$52,"categoría","4 *","municipio","ARONA","mes",1,"año",2009)</f>
        <v>10523</v>
      </c>
      <c r="E24" s="39">
        <f t="shared" si="6"/>
        <v>0.1897232488957</v>
      </c>
      <c r="F24" s="516">
        <f>GETPIVOTDATA("dato",'[1]tabla dinámica oferta alojativa'!$A$52,"categoría","4 *","municipio","ARONA","mes",1,"año",2010)</f>
        <v>10650</v>
      </c>
      <c r="G24" s="39">
        <f t="shared" si="7"/>
        <v>0.19833510251969383</v>
      </c>
      <c r="H24" s="113">
        <f t="shared" si="8"/>
        <v>1.2068801672526846E-2</v>
      </c>
      <c r="J24" s="517" t="s">
        <v>357</v>
      </c>
      <c r="K24" s="516">
        <f>GETPIVOTDATA("dato",'[1]tabla dinámica oferta alojativa'!$A$52,"categoría","4 *","municipio","ARONA","mes",7,"año",2009)</f>
        <v>10523</v>
      </c>
      <c r="L24" s="39">
        <f t="shared" si="9"/>
        <v>0.19355491382640205</v>
      </c>
      <c r="M24" s="516">
        <f>GETPIVOTDATA("dato",'[1]tabla dinámica oferta alojativa'!$A$52,"categoría","4 *","municipio","ARONA","mes",7,"año",2010)</f>
        <v>10650</v>
      </c>
      <c r="N24" s="39">
        <f t="shared" si="10"/>
        <v>0.2007767136716688</v>
      </c>
      <c r="O24" s="113">
        <f t="shared" si="11"/>
        <v>1.2068801672526846E-2</v>
      </c>
    </row>
    <row r="25" spans="3:15">
      <c r="C25" s="517" t="s">
        <v>358</v>
      </c>
      <c r="D25" s="516">
        <f>GETPIVOTDATA("dato",'[1]tabla dinámica oferta alojativa'!$A$52,"categoría","3 *","municipio","ARONA","mes",1,"año",2009)</f>
        <v>6683</v>
      </c>
      <c r="E25" s="39">
        <f t="shared" si="6"/>
        <v>0.12049039935094204</v>
      </c>
      <c r="F25" s="516">
        <f>GETPIVOTDATA("dato",'[1]tabla dinámica oferta alojativa'!$A$52,"categoría","3 *","municipio","ARONA","mes",1,"año",2010)</f>
        <v>6683</v>
      </c>
      <c r="G25" s="39">
        <f t="shared" si="7"/>
        <v>0.12445760470789802</v>
      </c>
      <c r="H25" s="113">
        <f t="shared" si="8"/>
        <v>0</v>
      </c>
      <c r="J25" s="517" t="s">
        <v>358</v>
      </c>
      <c r="K25" s="516">
        <f>GETPIVOTDATA("dato",'[1]tabla dinámica oferta alojativa'!$A$52,"categoría","3 *","municipio","ARONA","mes",7,"año",2009)</f>
        <v>6683</v>
      </c>
      <c r="L25" s="39">
        <f t="shared" si="9"/>
        <v>0.12292383247190392</v>
      </c>
      <c r="M25" s="516">
        <f>GETPIVOTDATA("dato",'[1]tabla dinámica oferta alojativa'!$A$52,"categoría","3 *","municipio","ARONA","mes",7,"año",2010)</f>
        <v>6683</v>
      </c>
      <c r="N25" s="39">
        <f t="shared" si="10"/>
        <v>0.1259897443631702</v>
      </c>
      <c r="O25" s="113">
        <f t="shared" si="11"/>
        <v>0</v>
      </c>
    </row>
    <row r="26" spans="3:15">
      <c r="C26" s="517" t="s">
        <v>359</v>
      </c>
      <c r="D26" s="516">
        <f>GETPIVOTDATA("dato",'[1]tabla dinámica oferta alojativa'!$A$52,"categoría","1* y 2 *","municipio","ARONA","mes",1,"año",2009)</f>
        <v>603</v>
      </c>
      <c r="E26" s="39">
        <f t="shared" si="6"/>
        <v>1.0871720905075273E-2</v>
      </c>
      <c r="F26" s="516">
        <f>GETPIVOTDATA("dato",'[1]tabla dinámica oferta alojativa'!$A$52,"categoría","1* y 2 *","municipio","ARONA","mes",1,"año",2010)</f>
        <v>547</v>
      </c>
      <c r="G26" s="39">
        <f t="shared" si="7"/>
        <v>1.0186788833640614E-2</v>
      </c>
      <c r="H26" s="113">
        <f>(F26-D26)/D26</f>
        <v>-9.2868988391376445E-2</v>
      </c>
      <c r="J26" s="517" t="s">
        <v>359</v>
      </c>
      <c r="K26" s="516">
        <f>GETPIVOTDATA("dato",'[1]tabla dinámica oferta alojativa'!$A$52,"categoría","1* y 2 *","municipio","ARONA","mes",7,"año",2009)</f>
        <v>547</v>
      </c>
      <c r="L26" s="39">
        <f t="shared" si="9"/>
        <v>1.0061250390862104E-2</v>
      </c>
      <c r="M26" s="516">
        <f>GETPIVOTDATA("dato",'[1]tabla dinámica oferta alojativa'!$A$52,"categoría","1* y 2 *","municipio","ARONA","mes",7,"año",2010)</f>
        <v>516</v>
      </c>
      <c r="N26" s="39">
        <f t="shared" si="10"/>
        <v>9.727773169444235E-3</v>
      </c>
      <c r="O26" s="113">
        <f t="shared" si="11"/>
        <v>-5.6672760511882997E-2</v>
      </c>
    </row>
    <row r="27" spans="3:15">
      <c r="C27" s="533" t="s">
        <v>360</v>
      </c>
      <c r="D27" s="516">
        <f>GETPIVOTDATA("dato",'[1]tabla dinámica oferta alojativa'!$A$52,"categoría","Extrahoteleros","municipio","ARONA","mes",1,"año",2009)</f>
        <v>35173</v>
      </c>
      <c r="E27" s="39">
        <f t="shared" si="6"/>
        <v>0.63414766068691963</v>
      </c>
      <c r="F27" s="516">
        <f>GETPIVOTDATA("dato",'[1]tabla dinámica oferta alojativa'!$A$52,"categoría","Extrahoteleros","municipio","ARONA","mes",1,"año",2010)</f>
        <v>33334</v>
      </c>
      <c r="G27" s="39">
        <f t="shared" si="7"/>
        <v>0.62077955937948115</v>
      </c>
      <c r="H27" s="113">
        <f t="shared" si="8"/>
        <v>-5.228442271060188E-2</v>
      </c>
      <c r="J27" s="533" t="s">
        <v>360</v>
      </c>
      <c r="K27" s="518">
        <f>GETPIVOTDATA("dato",'[1]tabla dinámica oferta alojativa'!$A$52,"categoría","Extrahoteleros","municipio","ARONA","mes",7,"año",2009)</f>
        <v>34131</v>
      </c>
      <c r="L27" s="41">
        <f t="shared" si="9"/>
        <v>0.62778891607041032</v>
      </c>
      <c r="M27" s="518">
        <f>GETPIVOTDATA("dato",'[1]tabla dinámica oferta alojativa'!$A$52,"categoría","Extrahoteleros","municipio","ARONA","mes",7,"año",2010)</f>
        <v>32712</v>
      </c>
      <c r="N27" s="41">
        <f t="shared" si="10"/>
        <v>0.61669557348616244</v>
      </c>
      <c r="O27" s="534">
        <f t="shared" si="11"/>
        <v>-4.1575107673376112E-2</v>
      </c>
    </row>
    <row r="28" spans="3:15" ht="23.25" customHeight="1">
      <c r="C28" s="238" t="s">
        <v>361</v>
      </c>
      <c r="D28" s="239"/>
      <c r="E28" s="239"/>
      <c r="F28" s="239"/>
      <c r="G28" s="239"/>
      <c r="H28" s="240"/>
      <c r="J28" s="238" t="s">
        <v>361</v>
      </c>
      <c r="K28" s="239"/>
      <c r="L28" s="239"/>
      <c r="M28" s="239"/>
      <c r="N28" s="239"/>
      <c r="O28" s="240"/>
    </row>
    <row r="29" spans="3:15" ht="15" customHeight="1"/>
    <row r="31" spans="3:15" ht="27.75" customHeight="1">
      <c r="C31" s="246" t="s">
        <v>364</v>
      </c>
      <c r="D31" s="247"/>
      <c r="E31" s="247"/>
      <c r="F31" s="247"/>
      <c r="G31" s="247"/>
      <c r="H31" s="248"/>
      <c r="J31" s="246" t="s">
        <v>364</v>
      </c>
      <c r="K31" s="247"/>
      <c r="L31" s="247"/>
      <c r="M31" s="247"/>
      <c r="N31" s="247"/>
      <c r="O31" s="248"/>
    </row>
    <row r="32" spans="3:15" ht="24">
      <c r="C32" s="507"/>
      <c r="D32" s="223" t="str">
        <f>actualizaciones!$A$4</f>
        <v>I semestre 2009</v>
      </c>
      <c r="E32" s="508" t="s">
        <v>27</v>
      </c>
      <c r="F32" s="223" t="str">
        <f>actualizaciones!$B$4</f>
        <v>I semestre 2010</v>
      </c>
      <c r="G32" s="508" t="s">
        <v>27</v>
      </c>
      <c r="H32" s="509" t="s">
        <v>28</v>
      </c>
      <c r="J32" s="507"/>
      <c r="K32" s="223" t="str">
        <f>actualizaciones!$A$5</f>
        <v>II semestre 2009</v>
      </c>
      <c r="L32" s="508" t="s">
        <v>27</v>
      </c>
      <c r="M32" s="223" t="str">
        <f>actualizaciones!$B$5</f>
        <v>II semestre 2010</v>
      </c>
      <c r="N32" s="508" t="s">
        <v>27</v>
      </c>
      <c r="O32" s="509" t="s">
        <v>28</v>
      </c>
    </row>
    <row r="33" spans="3:15">
      <c r="C33" s="532" t="s">
        <v>354</v>
      </c>
      <c r="D33" s="514">
        <f>GETPIVOTDATA("dato",'[1]tabla dinámica oferta alojativa'!$A$52,"categoría","TOTAL","municipio","PUERTO DE LA CRUZ","mes",1,"año",2009)</f>
        <v>28846</v>
      </c>
      <c r="E33" s="35">
        <f t="shared" ref="E33:E38" si="12">D33/$D$33</f>
        <v>1</v>
      </c>
      <c r="F33" s="514">
        <f>GETPIVOTDATA("dato",'[1]tabla dinámica oferta alojativa'!$A$52,"categoría","TOTAL","municipio","PUERTO DE LA CRUZ","mes",1,"año",2010)</f>
        <v>27225</v>
      </c>
      <c r="G33" s="35">
        <f t="shared" ref="G33:G38" si="13">F33/$F$33</f>
        <v>1</v>
      </c>
      <c r="H33" s="102">
        <f t="shared" ref="H33:H38" si="14">(F33-D33)/D33</f>
        <v>-5.6194966373153993E-2</v>
      </c>
      <c r="J33" s="532" t="s">
        <v>354</v>
      </c>
      <c r="K33" s="514">
        <f>GETPIVOTDATA("dato",'[1]tabla dinámica oferta alojativa'!$A$52,"categoría","TOTAL","municipio","PUERTO DE LA CRUZ","mes",7,"año",2009)</f>
        <v>28475</v>
      </c>
      <c r="L33" s="35">
        <f t="shared" ref="L33:L38" si="15">K33/$K$33</f>
        <v>1</v>
      </c>
      <c r="M33" s="514">
        <f>GETPIVOTDATA("dato",'[1]tabla dinámica oferta alojativa'!$A$52,"categoría","TOTAL","municipio","PUERTO DE LA CRUZ","mes",7,"año",2010)</f>
        <v>25676</v>
      </c>
      <c r="N33" s="35">
        <f t="shared" ref="N33:N38" si="16">M33/$M$33</f>
        <v>1</v>
      </c>
      <c r="O33" s="102">
        <f t="shared" ref="O33:O38" si="17">(M33-K33)/K33</f>
        <v>-9.8296751536435467E-2</v>
      </c>
    </row>
    <row r="34" spans="3:15">
      <c r="C34" s="533" t="s">
        <v>355</v>
      </c>
      <c r="D34" s="516">
        <f>GETPIVOTDATA("dato",'[1]tabla dinámica oferta alojativa'!$A$52,"categoría","Hoteleros","municipio","PUERTO DE LA CRUZ","mes",1,"año",2009)</f>
        <v>16831</v>
      </c>
      <c r="E34" s="39">
        <f t="shared" si="12"/>
        <v>0.5834777785481523</v>
      </c>
      <c r="F34" s="516">
        <f>GETPIVOTDATA("dato",'[1]tabla dinámica oferta alojativa'!$A$52,"categoría","Hoteleros","municipio","PUERTO DE LA CRUZ","mes",1,"año",2010)</f>
        <v>16442</v>
      </c>
      <c r="G34" s="39">
        <f t="shared" si="13"/>
        <v>0.60393021120293844</v>
      </c>
      <c r="H34" s="113">
        <f t="shared" si="14"/>
        <v>-2.3112114550531755E-2</v>
      </c>
      <c r="J34" s="533" t="s">
        <v>355</v>
      </c>
      <c r="K34" s="516">
        <f>GETPIVOTDATA("dato",'[1]tabla dinámica oferta alojativa'!$A$52,"categoría","Hoteleros","municipio","PUERTO DE LA CRUZ","mes",7,"año",2009)</f>
        <v>17038</v>
      </c>
      <c r="L34" s="39">
        <f t="shared" si="15"/>
        <v>0.5983494293239684</v>
      </c>
      <c r="M34" s="516">
        <f>GETPIVOTDATA("dato",'[1]tabla dinámica oferta alojativa'!$A$52,"categoría","Hoteleros","municipio","PUERTO DE LA CRUZ","mes",7,"año",2010)</f>
        <v>16158</v>
      </c>
      <c r="N34" s="39">
        <f t="shared" si="16"/>
        <v>0.6293036298488861</v>
      </c>
      <c r="O34" s="113">
        <f t="shared" si="17"/>
        <v>-5.1649254607348281E-2</v>
      </c>
    </row>
    <row r="35" spans="3:15">
      <c r="C35" s="517" t="s">
        <v>365</v>
      </c>
      <c r="D35" s="516">
        <f>GETPIVOTDATA("dato",'[1]tabla dinámica oferta alojativa'!$A$52,"categoría","4* Y 5*","municipio","PUERTO DE LA CRUZ","mes",1,"año",2009)</f>
        <v>13239</v>
      </c>
      <c r="E35" s="39">
        <f t="shared" si="12"/>
        <v>0.45895444775705468</v>
      </c>
      <c r="F35" s="516">
        <f>GETPIVOTDATA("dato",'[1]tabla dinámica oferta alojativa'!$A$52,"categoría","4* Y 5*","municipio","PUERTO DE LA CRUZ","mes",1,"año",2010)</f>
        <v>12955</v>
      </c>
      <c r="G35" s="39">
        <f t="shared" si="13"/>
        <v>0.47584940312213042</v>
      </c>
      <c r="H35" s="113">
        <f t="shared" si="14"/>
        <v>-2.1451771281818868E-2</v>
      </c>
      <c r="J35" s="517" t="s">
        <v>365</v>
      </c>
      <c r="K35" s="516">
        <f>GETPIVOTDATA("dato",'[1]tabla dinámica oferta alojativa'!$A$52,"categoría","4* Y 5*","municipio","PUERTO DE LA CRUZ","mes",7,"año",2009)</f>
        <v>13551</v>
      </c>
      <c r="L35" s="39">
        <f t="shared" si="15"/>
        <v>0.47589113257243199</v>
      </c>
      <c r="M35" s="516">
        <f>GETPIVOTDATA("dato",'[1]tabla dinámica oferta alojativa'!$A$52,"categoría","4* Y 5*","municipio","PUERTO DE LA CRUZ","mes",7,"año",2010)</f>
        <v>12955</v>
      </c>
      <c r="N35" s="39">
        <f t="shared" si="16"/>
        <v>0.50455678454587938</v>
      </c>
      <c r="O35" s="113">
        <f t="shared" si="17"/>
        <v>-4.3981993948786068E-2</v>
      </c>
    </row>
    <row r="36" spans="3:15">
      <c r="C36" s="517" t="s">
        <v>358</v>
      </c>
      <c r="D36" s="516">
        <f>GETPIVOTDATA("dato",'[1]tabla dinámica oferta alojativa'!$A$52,"categoría","3 *","municipio","PUERTO DE LA CRUZ","mes",1,"año",2009)</f>
        <v>3219</v>
      </c>
      <c r="E36" s="39">
        <f t="shared" si="12"/>
        <v>0.11159259516050753</v>
      </c>
      <c r="F36" s="516">
        <f>GETPIVOTDATA("dato",'[1]tabla dinámica oferta alojativa'!$A$52,"categoría","3 *","municipio","PUERTO DE LA CRUZ","mes",1,"año",2010)</f>
        <v>3114</v>
      </c>
      <c r="G36" s="39">
        <f t="shared" si="13"/>
        <v>0.11438016528925619</v>
      </c>
      <c r="H36" s="113">
        <f t="shared" si="14"/>
        <v>-3.2618825722273995E-2</v>
      </c>
      <c r="J36" s="517" t="s">
        <v>358</v>
      </c>
      <c r="K36" s="516">
        <f>GETPIVOTDATA("dato",'[1]tabla dinámica oferta alojativa'!$A$52,"categoría","3 *","municipio","PUERTO DE LA CRUZ","mes",7,"año",2009)</f>
        <v>3114</v>
      </c>
      <c r="L36" s="39">
        <f t="shared" si="15"/>
        <v>0.10935908691834943</v>
      </c>
      <c r="M36" s="516">
        <f>GETPIVOTDATA("dato",'[1]tabla dinámica oferta alojativa'!$A$52,"categoría","3 *","municipio","PUERTO DE LA CRUZ","mes",7,"año",2010)</f>
        <v>2830</v>
      </c>
      <c r="N36" s="39">
        <f t="shared" si="16"/>
        <v>0.11021966038323726</v>
      </c>
      <c r="O36" s="113">
        <f t="shared" si="17"/>
        <v>-9.1201027617212591E-2</v>
      </c>
    </row>
    <row r="37" spans="3:15">
      <c r="C37" s="517" t="s">
        <v>359</v>
      </c>
      <c r="D37" s="516">
        <f>GETPIVOTDATA("dato",'[1]tabla dinámica oferta alojativa'!$A$52,"categoría","1* y 2 *","municipio","PUERTO DE LA CRUZ","mes",1,"año",2009)</f>
        <v>373</v>
      </c>
      <c r="E37" s="39">
        <f t="shared" si="12"/>
        <v>1.293073563059003E-2</v>
      </c>
      <c r="F37" s="516">
        <f>GETPIVOTDATA("dato",'[1]tabla dinámica oferta alojativa'!$A$52,"categoría","1* y 2 *","municipio","PUERTO DE LA CRUZ","mes",1,"año",2010)</f>
        <v>373</v>
      </c>
      <c r="G37" s="39">
        <f t="shared" si="13"/>
        <v>1.3700642791551882E-2</v>
      </c>
      <c r="H37" s="113">
        <f t="shared" si="14"/>
        <v>0</v>
      </c>
      <c r="J37" s="517" t="s">
        <v>359</v>
      </c>
      <c r="K37" s="516">
        <f>GETPIVOTDATA("dato",'[1]tabla dinámica oferta alojativa'!$A$52,"categoría","1* y 2 *","municipio","PUERTO DE LA CRUZ","mes",7,"año",2009)</f>
        <v>373</v>
      </c>
      <c r="L37" s="39">
        <f t="shared" si="15"/>
        <v>1.3099209833187006E-2</v>
      </c>
      <c r="M37" s="516">
        <f>GETPIVOTDATA("dato",'[1]tabla dinámica oferta alojativa'!$A$52,"categoría","1* y 2 *","municipio","PUERTO DE LA CRUZ","mes",7,"año",2010)</f>
        <v>373</v>
      </c>
      <c r="N37" s="39">
        <f t="shared" si="16"/>
        <v>1.4527184919769435E-2</v>
      </c>
      <c r="O37" s="113">
        <f t="shared" si="17"/>
        <v>0</v>
      </c>
    </row>
    <row r="38" spans="3:15">
      <c r="C38" s="533" t="s">
        <v>360</v>
      </c>
      <c r="D38" s="516">
        <f>GETPIVOTDATA("dato",'[1]tabla dinámica oferta alojativa'!$A$52,"categoría","Extrahoteleros","municipio","PUERTO DE LA CRUZ","mes",1,"año",2009)</f>
        <v>12015</v>
      </c>
      <c r="E38" s="39">
        <f t="shared" si="12"/>
        <v>0.41652222145184775</v>
      </c>
      <c r="F38" s="516">
        <f>GETPIVOTDATA("dato",'[1]tabla dinámica oferta alojativa'!$A$52,"categoría","Extrahoteleros","municipio","PUERTO DE LA CRUZ","mes",1,"año",2010)</f>
        <v>10783</v>
      </c>
      <c r="G38" s="39">
        <f t="shared" si="13"/>
        <v>0.39606978879706151</v>
      </c>
      <c r="H38" s="113">
        <f t="shared" si="14"/>
        <v>-0.10253849354972951</v>
      </c>
      <c r="J38" s="533" t="s">
        <v>360</v>
      </c>
      <c r="K38" s="516">
        <f>GETPIVOTDATA("dato",'[1]tabla dinámica oferta alojativa'!$A$52,"categoría","Extrahoteleros","municipio","PUERTO DE LA CRUZ","mes",7,"año",2009)</f>
        <v>11437</v>
      </c>
      <c r="L38" s="39">
        <f t="shared" si="15"/>
        <v>0.4016505706760316</v>
      </c>
      <c r="M38" s="516">
        <f>GETPIVOTDATA("dato",'[1]tabla dinámica oferta alojativa'!$A$52,"categoría","Extrahoteleros","municipio","PUERTO DE LA CRUZ","mes",7,"año",2010)</f>
        <v>9518</v>
      </c>
      <c r="N38" s="39">
        <f t="shared" si="16"/>
        <v>0.3706963701511139</v>
      </c>
      <c r="O38" s="113">
        <f t="shared" si="17"/>
        <v>-0.16778875579260297</v>
      </c>
    </row>
    <row r="39" spans="3:15" ht="23.25" customHeight="1">
      <c r="C39" s="238" t="s">
        <v>361</v>
      </c>
      <c r="D39" s="239"/>
      <c r="E39" s="239"/>
      <c r="F39" s="239"/>
      <c r="G39" s="239"/>
      <c r="H39" s="240"/>
      <c r="J39" s="238" t="s">
        <v>361</v>
      </c>
      <c r="K39" s="239"/>
      <c r="L39" s="239"/>
      <c r="M39" s="239"/>
      <c r="N39" s="239"/>
      <c r="O39" s="240"/>
    </row>
    <row r="42" spans="3:15" ht="27.75" customHeight="1">
      <c r="C42" s="246" t="s">
        <v>366</v>
      </c>
      <c r="D42" s="247"/>
      <c r="E42" s="247"/>
      <c r="F42" s="247"/>
      <c r="G42" s="247"/>
      <c r="H42" s="248"/>
      <c r="J42" s="246" t="s">
        <v>366</v>
      </c>
      <c r="K42" s="247"/>
      <c r="L42" s="247"/>
      <c r="M42" s="247"/>
      <c r="N42" s="247"/>
      <c r="O42" s="248"/>
    </row>
    <row r="43" spans="3:15" ht="24">
      <c r="C43" s="507"/>
      <c r="D43" s="223" t="str">
        <f>actualizaciones!$A$4</f>
        <v>I semestre 2009</v>
      </c>
      <c r="E43" s="508" t="s">
        <v>27</v>
      </c>
      <c r="F43" s="223" t="str">
        <f>actualizaciones!$B$4</f>
        <v>I semestre 2010</v>
      </c>
      <c r="G43" s="508" t="s">
        <v>27</v>
      </c>
      <c r="H43" s="509" t="s">
        <v>28</v>
      </c>
      <c r="J43" s="507"/>
      <c r="K43" s="223" t="str">
        <f>actualizaciones!$A$5</f>
        <v>II semestre 2009</v>
      </c>
      <c r="L43" s="508" t="s">
        <v>27</v>
      </c>
      <c r="M43" s="223" t="str">
        <f>actualizaciones!$B$5</f>
        <v>II semestre 2010</v>
      </c>
      <c r="N43" s="508" t="s">
        <v>27</v>
      </c>
      <c r="O43" s="509" t="s">
        <v>28</v>
      </c>
    </row>
    <row r="44" spans="3:15">
      <c r="C44" s="532" t="s">
        <v>354</v>
      </c>
      <c r="D44" s="514">
        <f>GETPIVOTDATA("dato",'[1]tabla dinámica oferta alojativa'!$A$52,"categoría","TOTAL","municipio","SANTA CRUZ","mes",1,"año",2009)</f>
        <v>2531</v>
      </c>
      <c r="E44" s="35">
        <f t="shared" ref="E44:E50" si="18">D44/$D$44</f>
        <v>1</v>
      </c>
      <c r="F44" s="514">
        <f>GETPIVOTDATA("dato",'[1]tabla dinámica oferta alojativa'!$A$52,"categoría","TOTAL","municipio","SANTA CRUZ","mes",1,"año",2010)</f>
        <v>2504</v>
      </c>
      <c r="G44" s="35">
        <f t="shared" ref="G44:G50" si="19">F44/$F$44</f>
        <v>1</v>
      </c>
      <c r="H44" s="102">
        <f t="shared" ref="H44:H49" si="20">(F44-D44)/D44</f>
        <v>-1.066772026866851E-2</v>
      </c>
      <c r="J44" s="532" t="s">
        <v>354</v>
      </c>
      <c r="K44" s="514">
        <f>GETPIVOTDATA("dato",'[1]tabla dinámica oferta alojativa'!$A$52,"categoría","TOTAL","municipio","SANTA CRUZ","mes",7,"año",2009)</f>
        <v>2504</v>
      </c>
      <c r="L44" s="35">
        <f t="shared" ref="L44:L50" si="21">K44/$K$44</f>
        <v>1</v>
      </c>
      <c r="M44" s="514">
        <f>GETPIVOTDATA("dato",'[1]tabla dinámica oferta alojativa'!$A$52,"categoría","TOTAL","municipio","SANTA CRUZ","mes",7,"año",2010)</f>
        <v>1947</v>
      </c>
      <c r="N44" s="35">
        <f t="shared" ref="N44:N50" si="22">M44/$M$44</f>
        <v>1</v>
      </c>
      <c r="O44" s="102">
        <f t="shared" ref="O44:O49" si="23">(M44-K44)/K44</f>
        <v>-0.222444089456869</v>
      </c>
    </row>
    <row r="45" spans="3:15">
      <c r="C45" s="533" t="s">
        <v>355</v>
      </c>
      <c r="D45" s="516">
        <f>GETPIVOTDATA("dato",'[1]tabla dinámica oferta alojativa'!$A$52,"categoría","Hoteleros","municipio","SANTA CRUZ","mes",1,"año",2009)</f>
        <v>2531</v>
      </c>
      <c r="E45" s="39">
        <f t="shared" si="18"/>
        <v>1</v>
      </c>
      <c r="F45" s="516">
        <f>GETPIVOTDATA("dato",'[1]tabla dinámica oferta alojativa'!$A$52,"categoría","Hoteleros","municipio","SANTA CRUZ","mes",1,"año",2010)</f>
        <v>2504</v>
      </c>
      <c r="G45" s="39">
        <f t="shared" si="19"/>
        <v>1</v>
      </c>
      <c r="H45" s="113">
        <f t="shared" si="20"/>
        <v>-1.066772026866851E-2</v>
      </c>
      <c r="J45" s="533" t="s">
        <v>355</v>
      </c>
      <c r="K45" s="516">
        <f>GETPIVOTDATA("dato",'[1]tabla dinámica oferta alojativa'!$A$52,"categoría","Hoteleros","municipio","SANTA CRUZ","mes",7,"año",2009)</f>
        <v>2504</v>
      </c>
      <c r="L45" s="39">
        <f t="shared" si="21"/>
        <v>1</v>
      </c>
      <c r="M45" s="516">
        <f>GETPIVOTDATA("dato",'[1]tabla dinámica oferta alojativa'!$A$52,"categoría","Hoteleros","municipio","SANTA CRUZ","mes",7,"año",2010)</f>
        <v>1947</v>
      </c>
      <c r="N45" s="39">
        <f t="shared" si="22"/>
        <v>1</v>
      </c>
      <c r="O45" s="113">
        <f t="shared" si="23"/>
        <v>-0.222444089456869</v>
      </c>
    </row>
    <row r="46" spans="3:15">
      <c r="C46" s="517" t="s">
        <v>365</v>
      </c>
      <c r="D46" s="516">
        <f>GETPIVOTDATA("dato",'[1]tabla dinámica oferta alojativa'!$A$52,"categoría","4* Y 5*","municipio","SANTA CRUZ","mes",1,"año",2009)</f>
        <v>1050</v>
      </c>
      <c r="E46" s="39">
        <f t="shared" si="18"/>
        <v>0.41485578822599761</v>
      </c>
      <c r="F46" s="516">
        <f>GETPIVOTDATA("dato",'[1]tabla dinámica oferta alojativa'!$A$52,"categoría","4* Y 5*","municipio","SANTA CRUZ","mes",1,"año",2010)</f>
        <v>1050</v>
      </c>
      <c r="G46" s="39">
        <f t="shared" si="19"/>
        <v>0.41932907348242809</v>
      </c>
      <c r="H46" s="113">
        <f t="shared" si="20"/>
        <v>0</v>
      </c>
      <c r="J46" s="517" t="s">
        <v>365</v>
      </c>
      <c r="K46" s="516">
        <f>GETPIVOTDATA("dato",'[1]tabla dinámica oferta alojativa'!$A$52,"categoría","4* Y 5*","municipio","SANTA CRUZ","mes",7,"año",2009)</f>
        <v>1050</v>
      </c>
      <c r="L46" s="39">
        <f t="shared" si="21"/>
        <v>0.41932907348242809</v>
      </c>
      <c r="M46" s="516">
        <f>GETPIVOTDATA("dato",'[1]tabla dinámica oferta alojativa'!$A$52,"categoría","4* Y 5*","municipio","SANTA CRUZ","mes",7,"año",2010)</f>
        <v>493</v>
      </c>
      <c r="N46" s="39">
        <f t="shared" si="22"/>
        <v>0.25321006676938879</v>
      </c>
      <c r="O46" s="113">
        <f t="shared" si="23"/>
        <v>-0.53047619047619043</v>
      </c>
    </row>
    <row r="47" spans="3:15">
      <c r="C47" s="517" t="s">
        <v>358</v>
      </c>
      <c r="D47" s="516">
        <f>GETPIVOTDATA("dato",'[1]tabla dinámica oferta alojativa'!$A$52,"categoría","3 *","municipio","SANTA CRUZ","mes",1,"año",2009)</f>
        <v>580</v>
      </c>
      <c r="E47" s="39">
        <f t="shared" si="18"/>
        <v>0.22915843540102726</v>
      </c>
      <c r="F47" s="516">
        <f>GETPIVOTDATA("dato",'[1]tabla dinámica oferta alojativa'!$A$52,"categoría","3 *","municipio","SANTA CRUZ","mes",1,"año",2010)</f>
        <v>580</v>
      </c>
      <c r="G47" s="39">
        <f t="shared" si="19"/>
        <v>0.23162939297124602</v>
      </c>
      <c r="H47" s="113">
        <f t="shared" si="20"/>
        <v>0</v>
      </c>
      <c r="J47" s="517" t="s">
        <v>358</v>
      </c>
      <c r="K47" s="516">
        <f>GETPIVOTDATA("dato",'[1]tabla dinámica oferta alojativa'!$A$52,"categoría","3 *","municipio","SANTA CRUZ","mes",7,"año",2009)</f>
        <v>580</v>
      </c>
      <c r="L47" s="39">
        <f t="shared" si="21"/>
        <v>0.23162939297124602</v>
      </c>
      <c r="M47" s="516">
        <f>GETPIVOTDATA("dato",'[1]tabla dinámica oferta alojativa'!$A$52,"categoría","3 *","municipio","SANTA CRUZ","mes",7,"año",2010)</f>
        <v>580</v>
      </c>
      <c r="N47" s="39">
        <f t="shared" si="22"/>
        <v>0.29789419619928093</v>
      </c>
      <c r="O47" s="113">
        <f t="shared" si="23"/>
        <v>0</v>
      </c>
    </row>
    <row r="48" spans="3:15">
      <c r="C48" s="517" t="s">
        <v>367</v>
      </c>
      <c r="D48" s="516">
        <f>GETPIVOTDATA("dato",'[1]tabla dinámica oferta alojativa'!$A$52,"categoría","2*","municipio","SANTA CRUZ","mes",1,"año",2009)</f>
        <v>674</v>
      </c>
      <c r="E48" s="39">
        <f t="shared" si="18"/>
        <v>0.26629790596602132</v>
      </c>
      <c r="F48" s="516">
        <f>GETPIVOTDATA("dato",'[1]tabla dinámica oferta alojativa'!$A$52,"categoría","2*","municipio","SANTA CRUZ","mes",1,"año",2010)</f>
        <v>674</v>
      </c>
      <c r="G48" s="39">
        <f t="shared" si="19"/>
        <v>0.26916932907348246</v>
      </c>
      <c r="H48" s="113">
        <f t="shared" si="20"/>
        <v>0</v>
      </c>
      <c r="J48" s="517" t="s">
        <v>367</v>
      </c>
      <c r="K48" s="516">
        <f>GETPIVOTDATA("dato",'[1]tabla dinámica oferta alojativa'!$A$52,"categoría","2*","municipio","SANTA CRUZ","mes",7,"año",2009)</f>
        <v>674</v>
      </c>
      <c r="L48" s="39">
        <f t="shared" si="21"/>
        <v>0.26916932907348246</v>
      </c>
      <c r="M48" s="516">
        <f>GETPIVOTDATA("dato",'[1]tabla dinámica oferta alojativa'!$A$52,"categoría","2*","municipio","SANTA CRUZ","mes",7,"año",2010)</f>
        <v>674</v>
      </c>
      <c r="N48" s="39">
        <f t="shared" si="22"/>
        <v>0.34617360041088857</v>
      </c>
      <c r="O48" s="113">
        <f t="shared" si="23"/>
        <v>0</v>
      </c>
    </row>
    <row r="49" spans="3:17" ht="13.5" thickBot="1">
      <c r="C49" s="517" t="s">
        <v>368</v>
      </c>
      <c r="D49" s="516">
        <f>GETPIVOTDATA("dato",'[1]tabla dinámica oferta alojativa'!$A$52,"categoría","1*","municipio","SANTA CRUZ","mes",1,"año",2009)</f>
        <v>227</v>
      </c>
      <c r="E49" s="39">
        <f t="shared" si="18"/>
        <v>8.9687870406953779E-2</v>
      </c>
      <c r="F49" s="516">
        <f>GETPIVOTDATA("dato",'[1]tabla dinámica oferta alojativa'!$A$52,"categoría","1*","municipio","SANTA CRUZ","mes",1,"año",2010)</f>
        <v>200</v>
      </c>
      <c r="G49" s="39">
        <f t="shared" si="19"/>
        <v>7.9872204472843447E-2</v>
      </c>
      <c r="H49" s="113">
        <f t="shared" si="20"/>
        <v>-0.11894273127753303</v>
      </c>
      <c r="J49" s="517" t="s">
        <v>368</v>
      </c>
      <c r="K49" s="516">
        <f>GETPIVOTDATA("dato",'[1]tabla dinámica oferta alojativa'!$A$52,"categoría","1*","municipio","SANTA CRUZ","mes",7,"año",2009)</f>
        <v>200</v>
      </c>
      <c r="L49" s="39">
        <f t="shared" si="21"/>
        <v>7.9872204472843447E-2</v>
      </c>
      <c r="M49" s="516">
        <f>GETPIVOTDATA("dato",'[1]tabla dinámica oferta alojativa'!$A$52,"categoría","1*","municipio","SANTA CRUZ","mes",7,"año",2010)</f>
        <v>200</v>
      </c>
      <c r="N49" s="39">
        <f t="shared" si="22"/>
        <v>0.1027221366204417</v>
      </c>
      <c r="O49" s="113">
        <f t="shared" si="23"/>
        <v>0</v>
      </c>
    </row>
    <row r="50" spans="3:17" ht="16.5" thickBot="1">
      <c r="C50" s="533" t="s">
        <v>360</v>
      </c>
      <c r="D50" s="516">
        <f>GETPIVOTDATA("dato",'[1]tabla dinámica oferta alojativa'!$A$52,"categoría","Extrahoteleros","municipio","SANTA CRUZ","mes",1,"año",2009)</f>
        <v>0</v>
      </c>
      <c r="E50" s="39">
        <f t="shared" si="18"/>
        <v>0</v>
      </c>
      <c r="F50" s="516">
        <f>GETPIVOTDATA("dato",'[1]tabla dinámica oferta alojativa'!$A$52,"categoría","Extrahoteleros","municipio","SANTA CRUZ","mes",1,"año",2010)</f>
        <v>0</v>
      </c>
      <c r="G50" s="39">
        <f t="shared" si="19"/>
        <v>0</v>
      </c>
      <c r="H50" s="113" t="s">
        <v>216</v>
      </c>
      <c r="J50" s="533" t="s">
        <v>360</v>
      </c>
      <c r="K50" s="516">
        <f>GETPIVOTDATA("dato",'[1]tabla dinámica oferta alojativa'!$A$52,"categoría","Extrahoteleros","municipio","SANTA CRUZ","mes",7,"año",2009)</f>
        <v>0</v>
      </c>
      <c r="L50" s="39">
        <f t="shared" si="21"/>
        <v>0</v>
      </c>
      <c r="M50" s="516">
        <f>GETPIVOTDATA("dato",'[1]tabla dinámica oferta alojativa'!$A$52,"categoría","Extrahoteleros","municipio","SANTA CRUZ","mes",7,"año",2010)</f>
        <v>0</v>
      </c>
      <c r="N50" s="39">
        <f t="shared" si="22"/>
        <v>0</v>
      </c>
      <c r="O50" s="113" t="s">
        <v>216</v>
      </c>
      <c r="Q50" s="60" t="s">
        <v>119</v>
      </c>
    </row>
    <row r="51" spans="3:17" ht="23.25" customHeight="1" thickBot="1">
      <c r="C51" s="238" t="s">
        <v>361</v>
      </c>
      <c r="D51" s="239"/>
      <c r="E51" s="239"/>
      <c r="F51" s="239"/>
      <c r="G51" s="239"/>
      <c r="H51" s="240"/>
      <c r="J51" s="238" t="s">
        <v>361</v>
      </c>
      <c r="K51" s="239"/>
      <c r="L51" s="239"/>
      <c r="M51" s="239"/>
      <c r="N51" s="239"/>
      <c r="O51" s="240"/>
      <c r="Q51" s="60" t="s">
        <v>120</v>
      </c>
    </row>
  </sheetData>
  <mergeCells count="16">
    <mergeCell ref="C42:H42"/>
    <mergeCell ref="J42:O42"/>
    <mergeCell ref="C51:H51"/>
    <mergeCell ref="J51:O51"/>
    <mergeCell ref="C28:H28"/>
    <mergeCell ref="J28:O28"/>
    <mergeCell ref="C31:H31"/>
    <mergeCell ref="J31:O31"/>
    <mergeCell ref="C39:H39"/>
    <mergeCell ref="J39:O39"/>
    <mergeCell ref="C6:H6"/>
    <mergeCell ref="J6:O6"/>
    <mergeCell ref="C15:H15"/>
    <mergeCell ref="J15:O15"/>
    <mergeCell ref="C19:H19"/>
    <mergeCell ref="J19:O19"/>
  </mergeCells>
  <hyperlinks>
    <hyperlink ref="Q15" location="'Gráfica plazas estim tipo categ'!A1" tooltip="Ir a gráfica" display="Gráfica"/>
    <hyperlink ref="Q16" location="'Gráfica distrib plazas est tipo'!A1" tooltip="Ir a gráfica" display="Gráfica"/>
    <hyperlink ref="Q50" location="'Gráfica plazas estim tipo categ'!A1" tooltip="Ir a gráfica" display="Gráfica"/>
    <hyperlink ref="Q51" location="'Gráfica distrib plazas est tipo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rowBreaks count="2" manualBreakCount="2">
    <brk id="31" min="2" max="8" man="1"/>
    <brk id="78" min="2" max="8" man="1"/>
  </rowBreaks>
  <drawing r:id="rId2"/>
  <legacyDrawingHF r:id="rId3"/>
</worksheet>
</file>

<file path=xl/worksheets/sheet96.xml><?xml version="1.0" encoding="utf-8"?>
<worksheet xmlns="http://schemas.openxmlformats.org/spreadsheetml/2006/main" xmlns:r="http://schemas.openxmlformats.org/officeDocument/2006/relationships">
  <sheetPr codeName="Hoja65">
    <tabColor rgb="FF000099"/>
    <pageSetUpPr autoPageBreaks="0" fitToPage="1"/>
  </sheetPr>
  <dimension ref="B22:T59"/>
  <sheetViews>
    <sheetView showGridLines="0" showRowColHeaders="0" showOutlineSymbols="0" zoomScaleNormal="100" workbookViewId="0">
      <selection activeCell="B25" sqref="B25"/>
    </sheetView>
  </sheetViews>
  <sheetFormatPr baseColWidth="10" defaultRowHeight="12.75"/>
  <cols>
    <col min="1" max="1" width="15.7109375" style="2" customWidth="1"/>
    <col min="2" max="8" width="11.42578125" style="2"/>
    <col min="9" max="9" width="12.5703125" style="2" customWidth="1"/>
    <col min="10" max="256" width="11.42578125" style="2"/>
    <col min="257" max="257" width="15.7109375" style="2" customWidth="1"/>
    <col min="258" max="264" width="11.42578125" style="2"/>
    <col min="265" max="265" width="12.5703125" style="2" customWidth="1"/>
    <col min="266" max="512" width="11.42578125" style="2"/>
    <col min="513" max="513" width="15.7109375" style="2" customWidth="1"/>
    <col min="514" max="520" width="11.42578125" style="2"/>
    <col min="521" max="521" width="12.5703125" style="2" customWidth="1"/>
    <col min="522" max="768" width="11.42578125" style="2"/>
    <col min="769" max="769" width="15.7109375" style="2" customWidth="1"/>
    <col min="770" max="776" width="11.42578125" style="2"/>
    <col min="777" max="777" width="12.5703125" style="2" customWidth="1"/>
    <col min="778" max="1024" width="11.42578125" style="2"/>
    <col min="1025" max="1025" width="15.7109375" style="2" customWidth="1"/>
    <col min="1026" max="1032" width="11.42578125" style="2"/>
    <col min="1033" max="1033" width="12.5703125" style="2" customWidth="1"/>
    <col min="1034" max="1280" width="11.42578125" style="2"/>
    <col min="1281" max="1281" width="15.7109375" style="2" customWidth="1"/>
    <col min="1282" max="1288" width="11.42578125" style="2"/>
    <col min="1289" max="1289" width="12.5703125" style="2" customWidth="1"/>
    <col min="1290" max="1536" width="11.42578125" style="2"/>
    <col min="1537" max="1537" width="15.7109375" style="2" customWidth="1"/>
    <col min="1538" max="1544" width="11.42578125" style="2"/>
    <col min="1545" max="1545" width="12.5703125" style="2" customWidth="1"/>
    <col min="1546" max="1792" width="11.42578125" style="2"/>
    <col min="1793" max="1793" width="15.7109375" style="2" customWidth="1"/>
    <col min="1794" max="1800" width="11.42578125" style="2"/>
    <col min="1801" max="1801" width="12.5703125" style="2" customWidth="1"/>
    <col min="1802" max="2048" width="11.42578125" style="2"/>
    <col min="2049" max="2049" width="15.7109375" style="2" customWidth="1"/>
    <col min="2050" max="2056" width="11.42578125" style="2"/>
    <col min="2057" max="2057" width="12.5703125" style="2" customWidth="1"/>
    <col min="2058" max="2304" width="11.42578125" style="2"/>
    <col min="2305" max="2305" width="15.7109375" style="2" customWidth="1"/>
    <col min="2306" max="2312" width="11.42578125" style="2"/>
    <col min="2313" max="2313" width="12.5703125" style="2" customWidth="1"/>
    <col min="2314" max="2560" width="11.42578125" style="2"/>
    <col min="2561" max="2561" width="15.7109375" style="2" customWidth="1"/>
    <col min="2562" max="2568" width="11.42578125" style="2"/>
    <col min="2569" max="2569" width="12.5703125" style="2" customWidth="1"/>
    <col min="2570" max="2816" width="11.42578125" style="2"/>
    <col min="2817" max="2817" width="15.7109375" style="2" customWidth="1"/>
    <col min="2818" max="2824" width="11.42578125" style="2"/>
    <col min="2825" max="2825" width="12.5703125" style="2" customWidth="1"/>
    <col min="2826" max="3072" width="11.42578125" style="2"/>
    <col min="3073" max="3073" width="15.7109375" style="2" customWidth="1"/>
    <col min="3074" max="3080" width="11.42578125" style="2"/>
    <col min="3081" max="3081" width="12.5703125" style="2" customWidth="1"/>
    <col min="3082" max="3328" width="11.42578125" style="2"/>
    <col min="3329" max="3329" width="15.7109375" style="2" customWidth="1"/>
    <col min="3330" max="3336" width="11.42578125" style="2"/>
    <col min="3337" max="3337" width="12.5703125" style="2" customWidth="1"/>
    <col min="3338" max="3584" width="11.42578125" style="2"/>
    <col min="3585" max="3585" width="15.7109375" style="2" customWidth="1"/>
    <col min="3586" max="3592" width="11.42578125" style="2"/>
    <col min="3593" max="3593" width="12.5703125" style="2" customWidth="1"/>
    <col min="3594" max="3840" width="11.42578125" style="2"/>
    <col min="3841" max="3841" width="15.7109375" style="2" customWidth="1"/>
    <col min="3842" max="3848" width="11.42578125" style="2"/>
    <col min="3849" max="3849" width="12.5703125" style="2" customWidth="1"/>
    <col min="3850" max="4096" width="11.42578125" style="2"/>
    <col min="4097" max="4097" width="15.7109375" style="2" customWidth="1"/>
    <col min="4098" max="4104" width="11.42578125" style="2"/>
    <col min="4105" max="4105" width="12.5703125" style="2" customWidth="1"/>
    <col min="4106" max="4352" width="11.42578125" style="2"/>
    <col min="4353" max="4353" width="15.7109375" style="2" customWidth="1"/>
    <col min="4354" max="4360" width="11.42578125" style="2"/>
    <col min="4361" max="4361" width="12.5703125" style="2" customWidth="1"/>
    <col min="4362" max="4608" width="11.42578125" style="2"/>
    <col min="4609" max="4609" width="15.7109375" style="2" customWidth="1"/>
    <col min="4610" max="4616" width="11.42578125" style="2"/>
    <col min="4617" max="4617" width="12.5703125" style="2" customWidth="1"/>
    <col min="4618" max="4864" width="11.42578125" style="2"/>
    <col min="4865" max="4865" width="15.7109375" style="2" customWidth="1"/>
    <col min="4866" max="4872" width="11.42578125" style="2"/>
    <col min="4873" max="4873" width="12.5703125" style="2" customWidth="1"/>
    <col min="4874" max="5120" width="11.42578125" style="2"/>
    <col min="5121" max="5121" width="15.7109375" style="2" customWidth="1"/>
    <col min="5122" max="5128" width="11.42578125" style="2"/>
    <col min="5129" max="5129" width="12.5703125" style="2" customWidth="1"/>
    <col min="5130" max="5376" width="11.42578125" style="2"/>
    <col min="5377" max="5377" width="15.7109375" style="2" customWidth="1"/>
    <col min="5378" max="5384" width="11.42578125" style="2"/>
    <col min="5385" max="5385" width="12.5703125" style="2" customWidth="1"/>
    <col min="5386" max="5632" width="11.42578125" style="2"/>
    <col min="5633" max="5633" width="15.7109375" style="2" customWidth="1"/>
    <col min="5634" max="5640" width="11.42578125" style="2"/>
    <col min="5641" max="5641" width="12.5703125" style="2" customWidth="1"/>
    <col min="5642" max="5888" width="11.42578125" style="2"/>
    <col min="5889" max="5889" width="15.7109375" style="2" customWidth="1"/>
    <col min="5890" max="5896" width="11.42578125" style="2"/>
    <col min="5897" max="5897" width="12.5703125" style="2" customWidth="1"/>
    <col min="5898" max="6144" width="11.42578125" style="2"/>
    <col min="6145" max="6145" width="15.7109375" style="2" customWidth="1"/>
    <col min="6146" max="6152" width="11.42578125" style="2"/>
    <col min="6153" max="6153" width="12.5703125" style="2" customWidth="1"/>
    <col min="6154" max="6400" width="11.42578125" style="2"/>
    <col min="6401" max="6401" width="15.7109375" style="2" customWidth="1"/>
    <col min="6402" max="6408" width="11.42578125" style="2"/>
    <col min="6409" max="6409" width="12.5703125" style="2" customWidth="1"/>
    <col min="6410" max="6656" width="11.42578125" style="2"/>
    <col min="6657" max="6657" width="15.7109375" style="2" customWidth="1"/>
    <col min="6658" max="6664" width="11.42578125" style="2"/>
    <col min="6665" max="6665" width="12.5703125" style="2" customWidth="1"/>
    <col min="6666" max="6912" width="11.42578125" style="2"/>
    <col min="6913" max="6913" width="15.7109375" style="2" customWidth="1"/>
    <col min="6914" max="6920" width="11.42578125" style="2"/>
    <col min="6921" max="6921" width="12.5703125" style="2" customWidth="1"/>
    <col min="6922" max="7168" width="11.42578125" style="2"/>
    <col min="7169" max="7169" width="15.7109375" style="2" customWidth="1"/>
    <col min="7170" max="7176" width="11.42578125" style="2"/>
    <col min="7177" max="7177" width="12.5703125" style="2" customWidth="1"/>
    <col min="7178" max="7424" width="11.42578125" style="2"/>
    <col min="7425" max="7425" width="15.7109375" style="2" customWidth="1"/>
    <col min="7426" max="7432" width="11.42578125" style="2"/>
    <col min="7433" max="7433" width="12.5703125" style="2" customWidth="1"/>
    <col min="7434" max="7680" width="11.42578125" style="2"/>
    <col min="7681" max="7681" width="15.7109375" style="2" customWidth="1"/>
    <col min="7682" max="7688" width="11.42578125" style="2"/>
    <col min="7689" max="7689" width="12.5703125" style="2" customWidth="1"/>
    <col min="7690" max="7936" width="11.42578125" style="2"/>
    <col min="7937" max="7937" width="15.7109375" style="2" customWidth="1"/>
    <col min="7938" max="7944" width="11.42578125" style="2"/>
    <col min="7945" max="7945" width="12.5703125" style="2" customWidth="1"/>
    <col min="7946" max="8192" width="11.42578125" style="2"/>
    <col min="8193" max="8193" width="15.7109375" style="2" customWidth="1"/>
    <col min="8194" max="8200" width="11.42578125" style="2"/>
    <col min="8201" max="8201" width="12.5703125" style="2" customWidth="1"/>
    <col min="8202" max="8448" width="11.42578125" style="2"/>
    <col min="8449" max="8449" width="15.7109375" style="2" customWidth="1"/>
    <col min="8450" max="8456" width="11.42578125" style="2"/>
    <col min="8457" max="8457" width="12.5703125" style="2" customWidth="1"/>
    <col min="8458" max="8704" width="11.42578125" style="2"/>
    <col min="8705" max="8705" width="15.7109375" style="2" customWidth="1"/>
    <col min="8706" max="8712" width="11.42578125" style="2"/>
    <col min="8713" max="8713" width="12.5703125" style="2" customWidth="1"/>
    <col min="8714" max="8960" width="11.42578125" style="2"/>
    <col min="8961" max="8961" width="15.7109375" style="2" customWidth="1"/>
    <col min="8962" max="8968" width="11.42578125" style="2"/>
    <col min="8969" max="8969" width="12.5703125" style="2" customWidth="1"/>
    <col min="8970" max="9216" width="11.42578125" style="2"/>
    <col min="9217" max="9217" width="15.7109375" style="2" customWidth="1"/>
    <col min="9218" max="9224" width="11.42578125" style="2"/>
    <col min="9225" max="9225" width="12.5703125" style="2" customWidth="1"/>
    <col min="9226" max="9472" width="11.42578125" style="2"/>
    <col min="9473" max="9473" width="15.7109375" style="2" customWidth="1"/>
    <col min="9474" max="9480" width="11.42578125" style="2"/>
    <col min="9481" max="9481" width="12.5703125" style="2" customWidth="1"/>
    <col min="9482" max="9728" width="11.42578125" style="2"/>
    <col min="9729" max="9729" width="15.7109375" style="2" customWidth="1"/>
    <col min="9730" max="9736" width="11.42578125" style="2"/>
    <col min="9737" max="9737" width="12.5703125" style="2" customWidth="1"/>
    <col min="9738" max="9984" width="11.42578125" style="2"/>
    <col min="9985" max="9985" width="15.7109375" style="2" customWidth="1"/>
    <col min="9986" max="9992" width="11.42578125" style="2"/>
    <col min="9993" max="9993" width="12.5703125" style="2" customWidth="1"/>
    <col min="9994" max="10240" width="11.42578125" style="2"/>
    <col min="10241" max="10241" width="15.7109375" style="2" customWidth="1"/>
    <col min="10242" max="10248" width="11.42578125" style="2"/>
    <col min="10249" max="10249" width="12.5703125" style="2" customWidth="1"/>
    <col min="10250" max="10496" width="11.42578125" style="2"/>
    <col min="10497" max="10497" width="15.7109375" style="2" customWidth="1"/>
    <col min="10498" max="10504" width="11.42578125" style="2"/>
    <col min="10505" max="10505" width="12.5703125" style="2" customWidth="1"/>
    <col min="10506" max="10752" width="11.42578125" style="2"/>
    <col min="10753" max="10753" width="15.7109375" style="2" customWidth="1"/>
    <col min="10754" max="10760" width="11.42578125" style="2"/>
    <col min="10761" max="10761" width="12.5703125" style="2" customWidth="1"/>
    <col min="10762" max="11008" width="11.42578125" style="2"/>
    <col min="11009" max="11009" width="15.7109375" style="2" customWidth="1"/>
    <col min="11010" max="11016" width="11.42578125" style="2"/>
    <col min="11017" max="11017" width="12.5703125" style="2" customWidth="1"/>
    <col min="11018" max="11264" width="11.42578125" style="2"/>
    <col min="11265" max="11265" width="15.7109375" style="2" customWidth="1"/>
    <col min="11266" max="11272" width="11.42578125" style="2"/>
    <col min="11273" max="11273" width="12.5703125" style="2" customWidth="1"/>
    <col min="11274" max="11520" width="11.42578125" style="2"/>
    <col min="11521" max="11521" width="15.7109375" style="2" customWidth="1"/>
    <col min="11522" max="11528" width="11.42578125" style="2"/>
    <col min="11529" max="11529" width="12.5703125" style="2" customWidth="1"/>
    <col min="11530" max="11776" width="11.42578125" style="2"/>
    <col min="11777" max="11777" width="15.7109375" style="2" customWidth="1"/>
    <col min="11778" max="11784" width="11.42578125" style="2"/>
    <col min="11785" max="11785" width="12.5703125" style="2" customWidth="1"/>
    <col min="11786" max="12032" width="11.42578125" style="2"/>
    <col min="12033" max="12033" width="15.7109375" style="2" customWidth="1"/>
    <col min="12034" max="12040" width="11.42578125" style="2"/>
    <col min="12041" max="12041" width="12.5703125" style="2" customWidth="1"/>
    <col min="12042" max="12288" width="11.42578125" style="2"/>
    <col min="12289" max="12289" width="15.7109375" style="2" customWidth="1"/>
    <col min="12290" max="12296" width="11.42578125" style="2"/>
    <col min="12297" max="12297" width="12.5703125" style="2" customWidth="1"/>
    <col min="12298" max="12544" width="11.42578125" style="2"/>
    <col min="12545" max="12545" width="15.7109375" style="2" customWidth="1"/>
    <col min="12546" max="12552" width="11.42578125" style="2"/>
    <col min="12553" max="12553" width="12.5703125" style="2" customWidth="1"/>
    <col min="12554" max="12800" width="11.42578125" style="2"/>
    <col min="12801" max="12801" width="15.7109375" style="2" customWidth="1"/>
    <col min="12802" max="12808" width="11.42578125" style="2"/>
    <col min="12809" max="12809" width="12.5703125" style="2" customWidth="1"/>
    <col min="12810" max="13056" width="11.42578125" style="2"/>
    <col min="13057" max="13057" width="15.7109375" style="2" customWidth="1"/>
    <col min="13058" max="13064" width="11.42578125" style="2"/>
    <col min="13065" max="13065" width="12.5703125" style="2" customWidth="1"/>
    <col min="13066" max="13312" width="11.42578125" style="2"/>
    <col min="13313" max="13313" width="15.7109375" style="2" customWidth="1"/>
    <col min="13314" max="13320" width="11.42578125" style="2"/>
    <col min="13321" max="13321" width="12.5703125" style="2" customWidth="1"/>
    <col min="13322" max="13568" width="11.42578125" style="2"/>
    <col min="13569" max="13569" width="15.7109375" style="2" customWidth="1"/>
    <col min="13570" max="13576" width="11.42578125" style="2"/>
    <col min="13577" max="13577" width="12.5703125" style="2" customWidth="1"/>
    <col min="13578" max="13824" width="11.42578125" style="2"/>
    <col min="13825" max="13825" width="15.7109375" style="2" customWidth="1"/>
    <col min="13826" max="13832" width="11.42578125" style="2"/>
    <col min="13833" max="13833" width="12.5703125" style="2" customWidth="1"/>
    <col min="13834" max="14080" width="11.42578125" style="2"/>
    <col min="14081" max="14081" width="15.7109375" style="2" customWidth="1"/>
    <col min="14082" max="14088" width="11.42578125" style="2"/>
    <col min="14089" max="14089" width="12.5703125" style="2" customWidth="1"/>
    <col min="14090" max="14336" width="11.42578125" style="2"/>
    <col min="14337" max="14337" width="15.7109375" style="2" customWidth="1"/>
    <col min="14338" max="14344" width="11.42578125" style="2"/>
    <col min="14345" max="14345" width="12.5703125" style="2" customWidth="1"/>
    <col min="14346" max="14592" width="11.42578125" style="2"/>
    <col min="14593" max="14593" width="15.7109375" style="2" customWidth="1"/>
    <col min="14594" max="14600" width="11.42578125" style="2"/>
    <col min="14601" max="14601" width="12.5703125" style="2" customWidth="1"/>
    <col min="14602" max="14848" width="11.42578125" style="2"/>
    <col min="14849" max="14849" width="15.7109375" style="2" customWidth="1"/>
    <col min="14850" max="14856" width="11.42578125" style="2"/>
    <col min="14857" max="14857" width="12.5703125" style="2" customWidth="1"/>
    <col min="14858" max="15104" width="11.42578125" style="2"/>
    <col min="15105" max="15105" width="15.7109375" style="2" customWidth="1"/>
    <col min="15106" max="15112" width="11.42578125" style="2"/>
    <col min="15113" max="15113" width="12.5703125" style="2" customWidth="1"/>
    <col min="15114" max="15360" width="11.42578125" style="2"/>
    <col min="15361" max="15361" width="15.7109375" style="2" customWidth="1"/>
    <col min="15362" max="15368" width="11.42578125" style="2"/>
    <col min="15369" max="15369" width="12.5703125" style="2" customWidth="1"/>
    <col min="15370" max="15616" width="11.42578125" style="2"/>
    <col min="15617" max="15617" width="15.7109375" style="2" customWidth="1"/>
    <col min="15618" max="15624" width="11.42578125" style="2"/>
    <col min="15625" max="15625" width="12.5703125" style="2" customWidth="1"/>
    <col min="15626" max="15872" width="11.42578125" style="2"/>
    <col min="15873" max="15873" width="15.7109375" style="2" customWidth="1"/>
    <col min="15874" max="15880" width="11.42578125" style="2"/>
    <col min="15881" max="15881" width="12.5703125" style="2" customWidth="1"/>
    <col min="15882" max="16128" width="11.42578125" style="2"/>
    <col min="16129" max="16129" width="15.7109375" style="2" customWidth="1"/>
    <col min="16130" max="16136" width="11.42578125" style="2"/>
    <col min="16137" max="16137" width="12.5703125" style="2" customWidth="1"/>
    <col min="16138" max="16384" width="11.42578125" style="2"/>
  </cols>
  <sheetData>
    <row r="22" spans="20:20" ht="13.5" thickBot="1"/>
    <row r="23" spans="20:20" ht="16.5" thickBot="1">
      <c r="T23" s="60" t="s">
        <v>51</v>
      </c>
    </row>
    <row r="32" spans="20:20" ht="15.95" customHeight="1"/>
    <row r="53" spans="2:12" ht="15" customHeight="1"/>
    <row r="54" spans="2:12" ht="15" customHeight="1"/>
    <row r="55" spans="2:12" ht="15" customHeight="1"/>
    <row r="56" spans="2:12" ht="30" customHeight="1">
      <c r="B56" s="12"/>
      <c r="C56" s="12"/>
      <c r="D56" s="12"/>
      <c r="E56" s="12"/>
      <c r="F56" s="12"/>
      <c r="G56" s="12"/>
      <c r="K56" s="12"/>
      <c r="L56" s="12"/>
    </row>
    <row r="59" spans="2:12" ht="33" customHeight="1">
      <c r="J59" s="12"/>
    </row>
  </sheetData>
  <hyperlinks>
    <hyperlink ref="T23" location="'Oferta Alojat Estim tipol categ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rowBreaks count="1" manualBreakCount="1">
    <brk id="46" min="1" max="17" man="1"/>
  </rowBreaks>
  <drawing r:id="rId2"/>
  <legacyDrawingHF r:id="rId3"/>
</worksheet>
</file>

<file path=xl/worksheets/sheet97.xml><?xml version="1.0" encoding="utf-8"?>
<worksheet xmlns="http://schemas.openxmlformats.org/spreadsheetml/2006/main" xmlns:r="http://schemas.openxmlformats.org/officeDocument/2006/relationships">
  <sheetPr codeName="Hoja33">
    <tabColor rgb="FF000099"/>
    <pageSetUpPr autoPageBreaks="0" fitToPage="1"/>
  </sheetPr>
  <dimension ref="B1:S82"/>
  <sheetViews>
    <sheetView showGridLines="0" showRowColHeaders="0" showOutlineSymbols="0" zoomScaleNormal="100" workbookViewId="0">
      <selection activeCell="B25" sqref="B25"/>
    </sheetView>
  </sheetViews>
  <sheetFormatPr baseColWidth="10" defaultRowHeight="12.75"/>
  <cols>
    <col min="1" max="1" width="15.7109375" style="2" customWidth="1"/>
    <col min="2" max="17" width="12.140625" style="2" customWidth="1"/>
    <col min="18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.75" customHeight="1"/>
    <row r="2" ht="15.75" customHeight="1"/>
    <row r="3" ht="15.75" customHeight="1"/>
    <row r="4" ht="15.75" customHeight="1"/>
    <row r="5" ht="15.75" customHeight="1"/>
    <row r="6" ht="15.75" customHeight="1"/>
    <row r="7" ht="15.75" customHeight="1"/>
    <row r="8" ht="15.75" customHeight="1"/>
    <row r="9" ht="15.75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spans="19:19" ht="15.75" customHeight="1"/>
    <row r="18" spans="19:19" ht="15.75" customHeight="1"/>
    <row r="19" spans="19:19" ht="15.75" customHeight="1"/>
    <row r="20" spans="19:19" ht="15.75" customHeight="1"/>
    <row r="21" spans="19:19" ht="15.75" customHeight="1"/>
    <row r="22" spans="19:19" ht="15.75" customHeight="1"/>
    <row r="23" spans="19:19" ht="15.75" customHeight="1"/>
    <row r="24" spans="19:19" ht="15.75" customHeight="1"/>
    <row r="25" spans="19:19" ht="15.75" customHeight="1"/>
    <row r="26" spans="19:19" ht="15.75" customHeight="1"/>
    <row r="27" spans="19:19" ht="15.75" customHeight="1"/>
    <row r="28" spans="19:19" ht="15.75" customHeight="1"/>
    <row r="29" spans="19:19" ht="15.75" customHeight="1"/>
    <row r="30" spans="19:19" ht="15.75" customHeight="1" thickBot="1"/>
    <row r="31" spans="19:19" ht="15.75" customHeight="1" thickBot="1">
      <c r="S31" s="60" t="s">
        <v>51</v>
      </c>
    </row>
    <row r="32" spans="19:19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spans="2:12" ht="15.75" customHeight="1"/>
    <row r="50" spans="2:12" ht="15.75" customHeight="1"/>
    <row r="51" spans="2:12" ht="15.75" customHeight="1"/>
    <row r="52" spans="2:12" ht="15.75" customHeight="1">
      <c r="B52" s="12"/>
      <c r="C52" s="12"/>
      <c r="D52" s="12"/>
      <c r="E52" s="12"/>
      <c r="F52" s="12"/>
      <c r="G52" s="12"/>
      <c r="H52" s="12"/>
      <c r="K52" s="12"/>
      <c r="L52" s="12"/>
    </row>
    <row r="53" spans="2:12" ht="15.75" customHeight="1">
      <c r="J53" s="12"/>
    </row>
    <row r="54" spans="2:12" ht="15.75" customHeight="1"/>
    <row r="55" spans="2:12" ht="15.75" customHeight="1"/>
    <row r="56" spans="2:12" ht="15.75" customHeight="1"/>
    <row r="57" spans="2:12" ht="15.75" customHeight="1"/>
    <row r="58" spans="2:12" ht="15.75" customHeight="1"/>
    <row r="59" spans="2:12" ht="15.75" customHeight="1"/>
    <row r="60" spans="2:12" ht="15.75" customHeight="1"/>
    <row r="61" spans="2:12" ht="15.75" customHeight="1"/>
    <row r="62" spans="2:12" ht="15.75" customHeight="1"/>
    <row r="63" spans="2:12" ht="15.75" customHeight="1"/>
    <row r="64" spans="2:12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</sheetData>
  <hyperlinks>
    <hyperlink ref="S31" location="'Oferta Alojat Estim tipol categ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rowBreaks count="1" manualBreakCount="1">
    <brk id="38" min="1" max="15" man="1"/>
  </rowBreaks>
  <drawing r:id="rId2"/>
  <legacyDrawingHF r:id="rId3"/>
</worksheet>
</file>

<file path=xl/worksheets/sheet98.xml><?xml version="1.0" encoding="utf-8"?>
<worksheet xmlns="http://schemas.openxmlformats.org/spreadsheetml/2006/main" xmlns:r="http://schemas.openxmlformats.org/officeDocument/2006/relationships">
  <sheetPr codeName="Hoja40">
    <tabColor theme="4" tint="-0.499984740745262"/>
    <pageSetUpPr autoPageBreaks="0" fitToPage="1"/>
  </sheetPr>
  <dimension ref="C7:I77"/>
  <sheetViews>
    <sheetView showGridLines="0" showRowColHeaders="0" showOutlineSymbols="0" zoomScaleNormal="100" workbookViewId="0">
      <selection activeCell="B25" sqref="B25"/>
    </sheetView>
  </sheetViews>
  <sheetFormatPr baseColWidth="10" defaultRowHeight="12.75"/>
  <cols>
    <col min="1" max="3" width="11.42578125" style="2"/>
    <col min="4" max="4" width="9.140625" style="2" customWidth="1"/>
    <col min="5" max="5" width="7.85546875" style="2" customWidth="1"/>
    <col min="6" max="6" width="64.7109375" style="2" customWidth="1"/>
    <col min="7" max="259" width="11.42578125" style="2"/>
    <col min="260" max="260" width="9.140625" style="2" customWidth="1"/>
    <col min="261" max="261" width="7.85546875" style="2" customWidth="1"/>
    <col min="262" max="262" width="56.85546875" style="2" customWidth="1"/>
    <col min="263" max="515" width="11.42578125" style="2"/>
    <col min="516" max="516" width="9.140625" style="2" customWidth="1"/>
    <col min="517" max="517" width="7.85546875" style="2" customWidth="1"/>
    <col min="518" max="518" width="56.85546875" style="2" customWidth="1"/>
    <col min="519" max="771" width="11.42578125" style="2"/>
    <col min="772" max="772" width="9.140625" style="2" customWidth="1"/>
    <col min="773" max="773" width="7.85546875" style="2" customWidth="1"/>
    <col min="774" max="774" width="56.85546875" style="2" customWidth="1"/>
    <col min="775" max="1027" width="11.42578125" style="2"/>
    <col min="1028" max="1028" width="9.140625" style="2" customWidth="1"/>
    <col min="1029" max="1029" width="7.85546875" style="2" customWidth="1"/>
    <col min="1030" max="1030" width="56.85546875" style="2" customWidth="1"/>
    <col min="1031" max="1283" width="11.42578125" style="2"/>
    <col min="1284" max="1284" width="9.140625" style="2" customWidth="1"/>
    <col min="1285" max="1285" width="7.85546875" style="2" customWidth="1"/>
    <col min="1286" max="1286" width="56.85546875" style="2" customWidth="1"/>
    <col min="1287" max="1539" width="11.42578125" style="2"/>
    <col min="1540" max="1540" width="9.140625" style="2" customWidth="1"/>
    <col min="1541" max="1541" width="7.85546875" style="2" customWidth="1"/>
    <col min="1542" max="1542" width="56.85546875" style="2" customWidth="1"/>
    <col min="1543" max="1795" width="11.42578125" style="2"/>
    <col min="1796" max="1796" width="9.140625" style="2" customWidth="1"/>
    <col min="1797" max="1797" width="7.85546875" style="2" customWidth="1"/>
    <col min="1798" max="1798" width="56.85546875" style="2" customWidth="1"/>
    <col min="1799" max="2051" width="11.42578125" style="2"/>
    <col min="2052" max="2052" width="9.140625" style="2" customWidth="1"/>
    <col min="2053" max="2053" width="7.85546875" style="2" customWidth="1"/>
    <col min="2054" max="2054" width="56.85546875" style="2" customWidth="1"/>
    <col min="2055" max="2307" width="11.42578125" style="2"/>
    <col min="2308" max="2308" width="9.140625" style="2" customWidth="1"/>
    <col min="2309" max="2309" width="7.85546875" style="2" customWidth="1"/>
    <col min="2310" max="2310" width="56.85546875" style="2" customWidth="1"/>
    <col min="2311" max="2563" width="11.42578125" style="2"/>
    <col min="2564" max="2564" width="9.140625" style="2" customWidth="1"/>
    <col min="2565" max="2565" width="7.85546875" style="2" customWidth="1"/>
    <col min="2566" max="2566" width="56.85546875" style="2" customWidth="1"/>
    <col min="2567" max="2819" width="11.42578125" style="2"/>
    <col min="2820" max="2820" width="9.140625" style="2" customWidth="1"/>
    <col min="2821" max="2821" width="7.85546875" style="2" customWidth="1"/>
    <col min="2822" max="2822" width="56.85546875" style="2" customWidth="1"/>
    <col min="2823" max="3075" width="11.42578125" style="2"/>
    <col min="3076" max="3076" width="9.140625" style="2" customWidth="1"/>
    <col min="3077" max="3077" width="7.85546875" style="2" customWidth="1"/>
    <col min="3078" max="3078" width="56.85546875" style="2" customWidth="1"/>
    <col min="3079" max="3331" width="11.42578125" style="2"/>
    <col min="3332" max="3332" width="9.140625" style="2" customWidth="1"/>
    <col min="3333" max="3333" width="7.85546875" style="2" customWidth="1"/>
    <col min="3334" max="3334" width="56.85546875" style="2" customWidth="1"/>
    <col min="3335" max="3587" width="11.42578125" style="2"/>
    <col min="3588" max="3588" width="9.140625" style="2" customWidth="1"/>
    <col min="3589" max="3589" width="7.85546875" style="2" customWidth="1"/>
    <col min="3590" max="3590" width="56.85546875" style="2" customWidth="1"/>
    <col min="3591" max="3843" width="11.42578125" style="2"/>
    <col min="3844" max="3844" width="9.140625" style="2" customWidth="1"/>
    <col min="3845" max="3845" width="7.85546875" style="2" customWidth="1"/>
    <col min="3846" max="3846" width="56.85546875" style="2" customWidth="1"/>
    <col min="3847" max="4099" width="11.42578125" style="2"/>
    <col min="4100" max="4100" width="9.140625" style="2" customWidth="1"/>
    <col min="4101" max="4101" width="7.85546875" style="2" customWidth="1"/>
    <col min="4102" max="4102" width="56.85546875" style="2" customWidth="1"/>
    <col min="4103" max="4355" width="11.42578125" style="2"/>
    <col min="4356" max="4356" width="9.140625" style="2" customWidth="1"/>
    <col min="4357" max="4357" width="7.85546875" style="2" customWidth="1"/>
    <col min="4358" max="4358" width="56.85546875" style="2" customWidth="1"/>
    <col min="4359" max="4611" width="11.42578125" style="2"/>
    <col min="4612" max="4612" width="9.140625" style="2" customWidth="1"/>
    <col min="4613" max="4613" width="7.85546875" style="2" customWidth="1"/>
    <col min="4614" max="4614" width="56.85546875" style="2" customWidth="1"/>
    <col min="4615" max="4867" width="11.42578125" style="2"/>
    <col min="4868" max="4868" width="9.140625" style="2" customWidth="1"/>
    <col min="4869" max="4869" width="7.85546875" style="2" customWidth="1"/>
    <col min="4870" max="4870" width="56.85546875" style="2" customWidth="1"/>
    <col min="4871" max="5123" width="11.42578125" style="2"/>
    <col min="5124" max="5124" width="9.140625" style="2" customWidth="1"/>
    <col min="5125" max="5125" width="7.85546875" style="2" customWidth="1"/>
    <col min="5126" max="5126" width="56.85546875" style="2" customWidth="1"/>
    <col min="5127" max="5379" width="11.42578125" style="2"/>
    <col min="5380" max="5380" width="9.140625" style="2" customWidth="1"/>
    <col min="5381" max="5381" width="7.85546875" style="2" customWidth="1"/>
    <col min="5382" max="5382" width="56.85546875" style="2" customWidth="1"/>
    <col min="5383" max="5635" width="11.42578125" style="2"/>
    <col min="5636" max="5636" width="9.140625" style="2" customWidth="1"/>
    <col min="5637" max="5637" width="7.85546875" style="2" customWidth="1"/>
    <col min="5638" max="5638" width="56.85546875" style="2" customWidth="1"/>
    <col min="5639" max="5891" width="11.42578125" style="2"/>
    <col min="5892" max="5892" width="9.140625" style="2" customWidth="1"/>
    <col min="5893" max="5893" width="7.85546875" style="2" customWidth="1"/>
    <col min="5894" max="5894" width="56.85546875" style="2" customWidth="1"/>
    <col min="5895" max="6147" width="11.42578125" style="2"/>
    <col min="6148" max="6148" width="9.140625" style="2" customWidth="1"/>
    <col min="6149" max="6149" width="7.85546875" style="2" customWidth="1"/>
    <col min="6150" max="6150" width="56.85546875" style="2" customWidth="1"/>
    <col min="6151" max="6403" width="11.42578125" style="2"/>
    <col min="6404" max="6404" width="9.140625" style="2" customWidth="1"/>
    <col min="6405" max="6405" width="7.85546875" style="2" customWidth="1"/>
    <col min="6406" max="6406" width="56.85546875" style="2" customWidth="1"/>
    <col min="6407" max="6659" width="11.42578125" style="2"/>
    <col min="6660" max="6660" width="9.140625" style="2" customWidth="1"/>
    <col min="6661" max="6661" width="7.85546875" style="2" customWidth="1"/>
    <col min="6662" max="6662" width="56.85546875" style="2" customWidth="1"/>
    <col min="6663" max="6915" width="11.42578125" style="2"/>
    <col min="6916" max="6916" width="9.140625" style="2" customWidth="1"/>
    <col min="6917" max="6917" width="7.85546875" style="2" customWidth="1"/>
    <col min="6918" max="6918" width="56.85546875" style="2" customWidth="1"/>
    <col min="6919" max="7171" width="11.42578125" style="2"/>
    <col min="7172" max="7172" width="9.140625" style="2" customWidth="1"/>
    <col min="7173" max="7173" width="7.85546875" style="2" customWidth="1"/>
    <col min="7174" max="7174" width="56.85546875" style="2" customWidth="1"/>
    <col min="7175" max="7427" width="11.42578125" style="2"/>
    <col min="7428" max="7428" width="9.140625" style="2" customWidth="1"/>
    <col min="7429" max="7429" width="7.85546875" style="2" customWidth="1"/>
    <col min="7430" max="7430" width="56.85546875" style="2" customWidth="1"/>
    <col min="7431" max="7683" width="11.42578125" style="2"/>
    <col min="7684" max="7684" width="9.140625" style="2" customWidth="1"/>
    <col min="7685" max="7685" width="7.85546875" style="2" customWidth="1"/>
    <col min="7686" max="7686" width="56.85546875" style="2" customWidth="1"/>
    <col min="7687" max="7939" width="11.42578125" style="2"/>
    <col min="7940" max="7940" width="9.140625" style="2" customWidth="1"/>
    <col min="7941" max="7941" width="7.85546875" style="2" customWidth="1"/>
    <col min="7942" max="7942" width="56.85546875" style="2" customWidth="1"/>
    <col min="7943" max="8195" width="11.42578125" style="2"/>
    <col min="8196" max="8196" width="9.140625" style="2" customWidth="1"/>
    <col min="8197" max="8197" width="7.85546875" style="2" customWidth="1"/>
    <col min="8198" max="8198" width="56.85546875" style="2" customWidth="1"/>
    <col min="8199" max="8451" width="11.42578125" style="2"/>
    <col min="8452" max="8452" width="9.140625" style="2" customWidth="1"/>
    <col min="8453" max="8453" width="7.85546875" style="2" customWidth="1"/>
    <col min="8454" max="8454" width="56.85546875" style="2" customWidth="1"/>
    <col min="8455" max="8707" width="11.42578125" style="2"/>
    <col min="8708" max="8708" width="9.140625" style="2" customWidth="1"/>
    <col min="8709" max="8709" width="7.85546875" style="2" customWidth="1"/>
    <col min="8710" max="8710" width="56.85546875" style="2" customWidth="1"/>
    <col min="8711" max="8963" width="11.42578125" style="2"/>
    <col min="8964" max="8964" width="9.140625" style="2" customWidth="1"/>
    <col min="8965" max="8965" width="7.85546875" style="2" customWidth="1"/>
    <col min="8966" max="8966" width="56.85546875" style="2" customWidth="1"/>
    <col min="8967" max="9219" width="11.42578125" style="2"/>
    <col min="9220" max="9220" width="9.140625" style="2" customWidth="1"/>
    <col min="9221" max="9221" width="7.85546875" style="2" customWidth="1"/>
    <col min="9222" max="9222" width="56.85546875" style="2" customWidth="1"/>
    <col min="9223" max="9475" width="11.42578125" style="2"/>
    <col min="9476" max="9476" width="9.140625" style="2" customWidth="1"/>
    <col min="9477" max="9477" width="7.85546875" style="2" customWidth="1"/>
    <col min="9478" max="9478" width="56.85546875" style="2" customWidth="1"/>
    <col min="9479" max="9731" width="11.42578125" style="2"/>
    <col min="9732" max="9732" width="9.140625" style="2" customWidth="1"/>
    <col min="9733" max="9733" width="7.85546875" style="2" customWidth="1"/>
    <col min="9734" max="9734" width="56.85546875" style="2" customWidth="1"/>
    <col min="9735" max="9987" width="11.42578125" style="2"/>
    <col min="9988" max="9988" width="9.140625" style="2" customWidth="1"/>
    <col min="9989" max="9989" width="7.85546875" style="2" customWidth="1"/>
    <col min="9990" max="9990" width="56.85546875" style="2" customWidth="1"/>
    <col min="9991" max="10243" width="11.42578125" style="2"/>
    <col min="10244" max="10244" width="9.140625" style="2" customWidth="1"/>
    <col min="10245" max="10245" width="7.85546875" style="2" customWidth="1"/>
    <col min="10246" max="10246" width="56.85546875" style="2" customWidth="1"/>
    <col min="10247" max="10499" width="11.42578125" style="2"/>
    <col min="10500" max="10500" width="9.140625" style="2" customWidth="1"/>
    <col min="10501" max="10501" width="7.85546875" style="2" customWidth="1"/>
    <col min="10502" max="10502" width="56.85546875" style="2" customWidth="1"/>
    <col min="10503" max="10755" width="11.42578125" style="2"/>
    <col min="10756" max="10756" width="9.140625" style="2" customWidth="1"/>
    <col min="10757" max="10757" width="7.85546875" style="2" customWidth="1"/>
    <col min="10758" max="10758" width="56.85546875" style="2" customWidth="1"/>
    <col min="10759" max="11011" width="11.42578125" style="2"/>
    <col min="11012" max="11012" width="9.140625" style="2" customWidth="1"/>
    <col min="11013" max="11013" width="7.85546875" style="2" customWidth="1"/>
    <col min="11014" max="11014" width="56.85546875" style="2" customWidth="1"/>
    <col min="11015" max="11267" width="11.42578125" style="2"/>
    <col min="11268" max="11268" width="9.140625" style="2" customWidth="1"/>
    <col min="11269" max="11269" width="7.85546875" style="2" customWidth="1"/>
    <col min="11270" max="11270" width="56.85546875" style="2" customWidth="1"/>
    <col min="11271" max="11523" width="11.42578125" style="2"/>
    <col min="11524" max="11524" width="9.140625" style="2" customWidth="1"/>
    <col min="11525" max="11525" width="7.85546875" style="2" customWidth="1"/>
    <col min="11526" max="11526" width="56.85546875" style="2" customWidth="1"/>
    <col min="11527" max="11779" width="11.42578125" style="2"/>
    <col min="11780" max="11780" width="9.140625" style="2" customWidth="1"/>
    <col min="11781" max="11781" width="7.85546875" style="2" customWidth="1"/>
    <col min="11782" max="11782" width="56.85546875" style="2" customWidth="1"/>
    <col min="11783" max="12035" width="11.42578125" style="2"/>
    <col min="12036" max="12036" width="9.140625" style="2" customWidth="1"/>
    <col min="12037" max="12037" width="7.85546875" style="2" customWidth="1"/>
    <col min="12038" max="12038" width="56.85546875" style="2" customWidth="1"/>
    <col min="12039" max="12291" width="11.42578125" style="2"/>
    <col min="12292" max="12292" width="9.140625" style="2" customWidth="1"/>
    <col min="12293" max="12293" width="7.85546875" style="2" customWidth="1"/>
    <col min="12294" max="12294" width="56.85546875" style="2" customWidth="1"/>
    <col min="12295" max="12547" width="11.42578125" style="2"/>
    <col min="12548" max="12548" width="9.140625" style="2" customWidth="1"/>
    <col min="12549" max="12549" width="7.85546875" style="2" customWidth="1"/>
    <col min="12550" max="12550" width="56.85546875" style="2" customWidth="1"/>
    <col min="12551" max="12803" width="11.42578125" style="2"/>
    <col min="12804" max="12804" width="9.140625" style="2" customWidth="1"/>
    <col min="12805" max="12805" width="7.85546875" style="2" customWidth="1"/>
    <col min="12806" max="12806" width="56.85546875" style="2" customWidth="1"/>
    <col min="12807" max="13059" width="11.42578125" style="2"/>
    <col min="13060" max="13060" width="9.140625" style="2" customWidth="1"/>
    <col min="13061" max="13061" width="7.85546875" style="2" customWidth="1"/>
    <col min="13062" max="13062" width="56.85546875" style="2" customWidth="1"/>
    <col min="13063" max="13315" width="11.42578125" style="2"/>
    <col min="13316" max="13316" width="9.140625" style="2" customWidth="1"/>
    <col min="13317" max="13317" width="7.85546875" style="2" customWidth="1"/>
    <col min="13318" max="13318" width="56.85546875" style="2" customWidth="1"/>
    <col min="13319" max="13571" width="11.42578125" style="2"/>
    <col min="13572" max="13572" width="9.140625" style="2" customWidth="1"/>
    <col min="13573" max="13573" width="7.85546875" style="2" customWidth="1"/>
    <col min="13574" max="13574" width="56.85546875" style="2" customWidth="1"/>
    <col min="13575" max="13827" width="11.42578125" style="2"/>
    <col min="13828" max="13828" width="9.140625" style="2" customWidth="1"/>
    <col min="13829" max="13829" width="7.85546875" style="2" customWidth="1"/>
    <col min="13830" max="13830" width="56.85546875" style="2" customWidth="1"/>
    <col min="13831" max="14083" width="11.42578125" style="2"/>
    <col min="14084" max="14084" width="9.140625" style="2" customWidth="1"/>
    <col min="14085" max="14085" width="7.85546875" style="2" customWidth="1"/>
    <col min="14086" max="14086" width="56.85546875" style="2" customWidth="1"/>
    <col min="14087" max="14339" width="11.42578125" style="2"/>
    <col min="14340" max="14340" width="9.140625" style="2" customWidth="1"/>
    <col min="14341" max="14341" width="7.85546875" style="2" customWidth="1"/>
    <col min="14342" max="14342" width="56.85546875" style="2" customWidth="1"/>
    <col min="14343" max="14595" width="11.42578125" style="2"/>
    <col min="14596" max="14596" width="9.140625" style="2" customWidth="1"/>
    <col min="14597" max="14597" width="7.85546875" style="2" customWidth="1"/>
    <col min="14598" max="14598" width="56.85546875" style="2" customWidth="1"/>
    <col min="14599" max="14851" width="11.42578125" style="2"/>
    <col min="14852" max="14852" width="9.140625" style="2" customWidth="1"/>
    <col min="14853" max="14853" width="7.85546875" style="2" customWidth="1"/>
    <col min="14854" max="14854" width="56.85546875" style="2" customWidth="1"/>
    <col min="14855" max="15107" width="11.42578125" style="2"/>
    <col min="15108" max="15108" width="9.140625" style="2" customWidth="1"/>
    <col min="15109" max="15109" width="7.85546875" style="2" customWidth="1"/>
    <col min="15110" max="15110" width="56.85546875" style="2" customWidth="1"/>
    <col min="15111" max="15363" width="11.42578125" style="2"/>
    <col min="15364" max="15364" width="9.140625" style="2" customWidth="1"/>
    <col min="15365" max="15365" width="7.85546875" style="2" customWidth="1"/>
    <col min="15366" max="15366" width="56.85546875" style="2" customWidth="1"/>
    <col min="15367" max="15619" width="11.42578125" style="2"/>
    <col min="15620" max="15620" width="9.140625" style="2" customWidth="1"/>
    <col min="15621" max="15621" width="7.85546875" style="2" customWidth="1"/>
    <col min="15622" max="15622" width="56.85546875" style="2" customWidth="1"/>
    <col min="15623" max="15875" width="11.42578125" style="2"/>
    <col min="15876" max="15876" width="9.140625" style="2" customWidth="1"/>
    <col min="15877" max="15877" width="7.85546875" style="2" customWidth="1"/>
    <col min="15878" max="15878" width="56.85546875" style="2" customWidth="1"/>
    <col min="15879" max="16131" width="11.42578125" style="2"/>
    <col min="16132" max="16132" width="9.140625" style="2" customWidth="1"/>
    <col min="16133" max="16133" width="7.85546875" style="2" customWidth="1"/>
    <col min="16134" max="16134" width="56.85546875" style="2" customWidth="1"/>
    <col min="16135" max="16384" width="11.42578125" style="2"/>
  </cols>
  <sheetData>
    <row r="7" spans="4:6" ht="30" customHeight="1">
      <c r="D7" s="417" t="s">
        <v>7</v>
      </c>
      <c r="E7" s="417"/>
      <c r="F7" s="417"/>
    </row>
    <row r="8" spans="4:6" ht="20.100000000000001" customHeight="1">
      <c r="D8" s="418"/>
      <c r="E8" s="419"/>
      <c r="F8" s="419"/>
    </row>
    <row r="9" spans="4:6" ht="24.95" customHeight="1">
      <c r="D9" s="419"/>
      <c r="E9" s="420" t="s">
        <v>10</v>
      </c>
      <c r="F9" s="421"/>
    </row>
    <row r="10" spans="4:6" ht="20.100000000000001" customHeight="1">
      <c r="D10" s="419"/>
      <c r="E10" s="419"/>
      <c r="F10" s="422"/>
    </row>
    <row r="11" spans="4:6" ht="20.100000000000001" customHeight="1">
      <c r="D11" s="419"/>
      <c r="E11" s="419"/>
      <c r="F11" s="423" t="s">
        <v>369</v>
      </c>
    </row>
    <row r="12" spans="4:6" ht="20.100000000000001" customHeight="1">
      <c r="D12" s="419"/>
      <c r="E12" s="419"/>
      <c r="F12" s="423" t="s">
        <v>370</v>
      </c>
    </row>
    <row r="13" spans="4:6" ht="20.100000000000001" customHeight="1">
      <c r="D13" s="419"/>
      <c r="E13" s="419"/>
      <c r="F13" s="423" t="s">
        <v>371</v>
      </c>
    </row>
    <row r="14" spans="4:6" ht="20.100000000000001" customHeight="1">
      <c r="D14" s="419"/>
      <c r="E14" s="419"/>
      <c r="F14" s="422"/>
    </row>
    <row r="15" spans="4:6" ht="24.95" customHeight="1">
      <c r="D15" s="419"/>
      <c r="E15" s="420" t="s">
        <v>17</v>
      </c>
      <c r="F15" s="421"/>
    </row>
    <row r="16" spans="4:6" ht="20.100000000000001" customHeight="1">
      <c r="D16" s="419"/>
      <c r="E16" s="419"/>
      <c r="F16" s="422"/>
    </row>
    <row r="17" spans="3:9" ht="20.100000000000001" customHeight="1">
      <c r="D17" s="419"/>
      <c r="E17" s="419"/>
      <c r="F17" s="423" t="s">
        <v>372</v>
      </c>
    </row>
    <row r="18" spans="3:9" ht="20.100000000000001" customHeight="1">
      <c r="D18" s="419"/>
      <c r="E18" s="419"/>
      <c r="F18" s="424"/>
    </row>
    <row r="19" spans="3:9" ht="20.100000000000001" customHeight="1">
      <c r="D19" s="21"/>
    </row>
    <row r="20" spans="3:9" ht="20.100000000000001" customHeight="1">
      <c r="E20" s="22"/>
      <c r="F20" s="23"/>
    </row>
    <row r="21" spans="3:9" ht="15" customHeight="1">
      <c r="D21" s="11" t="s">
        <v>8</v>
      </c>
      <c r="E21" s="11"/>
      <c r="F21" s="11"/>
    </row>
    <row r="22" spans="3:9" ht="20.100000000000001" customHeight="1"/>
    <row r="23" spans="3:9" ht="15" customHeight="1"/>
    <row r="24" spans="3:9" ht="20.100000000000001" customHeight="1">
      <c r="E24" s="22"/>
      <c r="F24" s="23"/>
    </row>
    <row r="25" spans="3:9" ht="15" customHeight="1"/>
    <row r="26" spans="3:9" ht="15" customHeight="1">
      <c r="D26" s="21"/>
    </row>
    <row r="27" spans="3:9" ht="15" customHeight="1"/>
    <row r="28" spans="3:9" ht="20.100000000000001" customHeight="1">
      <c r="C28" s="12"/>
      <c r="D28" s="12"/>
      <c r="E28" s="12"/>
      <c r="F28" s="12"/>
      <c r="G28" s="12"/>
      <c r="H28" s="12"/>
      <c r="I28" s="12"/>
    </row>
    <row r="29" spans="3:9" ht="15" customHeight="1"/>
    <row r="30" spans="3:9" ht="15" customHeight="1"/>
    <row r="31" spans="3:9" ht="15" customHeight="1">
      <c r="D31" s="21"/>
    </row>
    <row r="32" spans="3: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</sheetData>
  <mergeCells count="2">
    <mergeCell ref="D7:F7"/>
    <mergeCell ref="D21:F21"/>
  </mergeCells>
  <hyperlinks>
    <hyperlink ref="F17" location="'Gráfica Distrib Plazas Autoriza'!A1" tooltip="Distribución según tipología alojativa" display="Distribución según tipología alojativa"/>
    <hyperlink ref="F11" location="'Plazas Autorizadas tipología'!A1" tooltip="Tipología del establecimiento - municipios" display="Tipología de establecimiento - municipios"/>
    <hyperlink ref="F12" location="'Cuotas Plazas Autorizadas05'!A1" tooltip="Distribución por tipología de establecimiento - municipios " display="Distribución por tipología de establecimiento - municipios "/>
    <hyperlink ref="F13" location="'Distrib Plazas Autor 03_04-05'!A1" tooltip="Distribución según tipología alojativa" display="Distribución según tipología y categor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drawing r:id="rId2"/>
  <legacyDrawingHF r:id="rId3"/>
</worksheet>
</file>

<file path=xl/worksheets/sheet99.xml><?xml version="1.0" encoding="utf-8"?>
<worksheet xmlns="http://schemas.openxmlformats.org/spreadsheetml/2006/main" xmlns:r="http://schemas.openxmlformats.org/officeDocument/2006/relationships">
  <sheetPr codeName="Hoja18">
    <tabColor rgb="FF000099"/>
    <pageSetUpPr autoPageBreaks="0" fitToPage="1"/>
  </sheetPr>
  <dimension ref="B2:AA60"/>
  <sheetViews>
    <sheetView showGridLines="0" showRowColHeaders="0" showOutlineSymbols="0" zoomScaleNormal="100" workbookViewId="0">
      <selection activeCell="B25" sqref="B25"/>
    </sheetView>
  </sheetViews>
  <sheetFormatPr baseColWidth="10" defaultColWidth="16.5703125" defaultRowHeight="12.75"/>
  <cols>
    <col min="1" max="1" width="3.7109375" style="535" customWidth="1"/>
    <col min="2" max="2" width="20.7109375" style="535" bestFit="1" customWidth="1"/>
    <col min="3" max="3" width="27.5703125" style="535" bestFit="1" customWidth="1"/>
    <col min="4" max="4" width="13" style="535" bestFit="1" customWidth="1"/>
    <col min="5" max="5" width="12.85546875" style="535" customWidth="1"/>
    <col min="6" max="6" width="15" style="535" bestFit="1" customWidth="1"/>
    <col min="7" max="7" width="15.28515625" style="535" bestFit="1" customWidth="1"/>
    <col min="8" max="8" width="13.85546875" style="535" bestFit="1" customWidth="1"/>
    <col min="9" max="11" width="7.7109375" style="535" customWidth="1"/>
    <col min="12" max="12" width="8.85546875" style="535" customWidth="1"/>
    <col min="13" max="16" width="7.7109375" style="535" customWidth="1"/>
    <col min="17" max="17" width="8.85546875" style="535" customWidth="1"/>
    <col min="18" max="20" width="7.7109375" style="535" customWidth="1"/>
    <col min="21" max="21" width="9.5703125" style="535" customWidth="1"/>
    <col min="22" max="22" width="8.85546875" style="535" customWidth="1"/>
    <col min="23" max="26" width="7.7109375" style="535" customWidth="1"/>
    <col min="27" max="27" width="9" style="535" bestFit="1" customWidth="1"/>
    <col min="28" max="256" width="16.5703125" style="535"/>
    <col min="257" max="257" width="3.7109375" style="535" customWidth="1"/>
    <col min="258" max="258" width="20.7109375" style="535" bestFit="1" customWidth="1"/>
    <col min="259" max="259" width="27.5703125" style="535" bestFit="1" customWidth="1"/>
    <col min="260" max="260" width="13" style="535" bestFit="1" customWidth="1"/>
    <col min="261" max="261" width="12.85546875" style="535" customWidth="1"/>
    <col min="262" max="262" width="15" style="535" bestFit="1" customWidth="1"/>
    <col min="263" max="263" width="15.28515625" style="535" bestFit="1" customWidth="1"/>
    <col min="264" max="264" width="13.85546875" style="535" bestFit="1" customWidth="1"/>
    <col min="265" max="267" width="7.7109375" style="535" customWidth="1"/>
    <col min="268" max="268" width="8.85546875" style="535" customWidth="1"/>
    <col min="269" max="272" width="7.7109375" style="535" customWidth="1"/>
    <col min="273" max="273" width="8.85546875" style="535" customWidth="1"/>
    <col min="274" max="276" width="7.7109375" style="535" customWidth="1"/>
    <col min="277" max="277" width="9.5703125" style="535" customWidth="1"/>
    <col min="278" max="278" width="8.85546875" style="535" customWidth="1"/>
    <col min="279" max="282" width="7.7109375" style="535" customWidth="1"/>
    <col min="283" max="283" width="9" style="535" bestFit="1" customWidth="1"/>
    <col min="284" max="512" width="16.5703125" style="535"/>
    <col min="513" max="513" width="3.7109375" style="535" customWidth="1"/>
    <col min="514" max="514" width="20.7109375" style="535" bestFit="1" customWidth="1"/>
    <col min="515" max="515" width="27.5703125" style="535" bestFit="1" customWidth="1"/>
    <col min="516" max="516" width="13" style="535" bestFit="1" customWidth="1"/>
    <col min="517" max="517" width="12.85546875" style="535" customWidth="1"/>
    <col min="518" max="518" width="15" style="535" bestFit="1" customWidth="1"/>
    <col min="519" max="519" width="15.28515625" style="535" bestFit="1" customWidth="1"/>
    <col min="520" max="520" width="13.85546875" style="535" bestFit="1" customWidth="1"/>
    <col min="521" max="523" width="7.7109375" style="535" customWidth="1"/>
    <col min="524" max="524" width="8.85546875" style="535" customWidth="1"/>
    <col min="525" max="528" width="7.7109375" style="535" customWidth="1"/>
    <col min="529" max="529" width="8.85546875" style="535" customWidth="1"/>
    <col min="530" max="532" width="7.7109375" style="535" customWidth="1"/>
    <col min="533" max="533" width="9.5703125" style="535" customWidth="1"/>
    <col min="534" max="534" width="8.85546875" style="535" customWidth="1"/>
    <col min="535" max="538" width="7.7109375" style="535" customWidth="1"/>
    <col min="539" max="539" width="9" style="535" bestFit="1" customWidth="1"/>
    <col min="540" max="768" width="16.5703125" style="535"/>
    <col min="769" max="769" width="3.7109375" style="535" customWidth="1"/>
    <col min="770" max="770" width="20.7109375" style="535" bestFit="1" customWidth="1"/>
    <col min="771" max="771" width="27.5703125" style="535" bestFit="1" customWidth="1"/>
    <col min="772" max="772" width="13" style="535" bestFit="1" customWidth="1"/>
    <col min="773" max="773" width="12.85546875" style="535" customWidth="1"/>
    <col min="774" max="774" width="15" style="535" bestFit="1" customWidth="1"/>
    <col min="775" max="775" width="15.28515625" style="535" bestFit="1" customWidth="1"/>
    <col min="776" max="776" width="13.85546875" style="535" bestFit="1" customWidth="1"/>
    <col min="777" max="779" width="7.7109375" style="535" customWidth="1"/>
    <col min="780" max="780" width="8.85546875" style="535" customWidth="1"/>
    <col min="781" max="784" width="7.7109375" style="535" customWidth="1"/>
    <col min="785" max="785" width="8.85546875" style="535" customWidth="1"/>
    <col min="786" max="788" width="7.7109375" style="535" customWidth="1"/>
    <col min="789" max="789" width="9.5703125" style="535" customWidth="1"/>
    <col min="790" max="790" width="8.85546875" style="535" customWidth="1"/>
    <col min="791" max="794" width="7.7109375" style="535" customWidth="1"/>
    <col min="795" max="795" width="9" style="535" bestFit="1" customWidth="1"/>
    <col min="796" max="1024" width="16.5703125" style="535"/>
    <col min="1025" max="1025" width="3.7109375" style="535" customWidth="1"/>
    <col min="1026" max="1026" width="20.7109375" style="535" bestFit="1" customWidth="1"/>
    <col min="1027" max="1027" width="27.5703125" style="535" bestFit="1" customWidth="1"/>
    <col min="1028" max="1028" width="13" style="535" bestFit="1" customWidth="1"/>
    <col min="1029" max="1029" width="12.85546875" style="535" customWidth="1"/>
    <col min="1030" max="1030" width="15" style="535" bestFit="1" customWidth="1"/>
    <col min="1031" max="1031" width="15.28515625" style="535" bestFit="1" customWidth="1"/>
    <col min="1032" max="1032" width="13.85546875" style="535" bestFit="1" customWidth="1"/>
    <col min="1033" max="1035" width="7.7109375" style="535" customWidth="1"/>
    <col min="1036" max="1036" width="8.85546875" style="535" customWidth="1"/>
    <col min="1037" max="1040" width="7.7109375" style="535" customWidth="1"/>
    <col min="1041" max="1041" width="8.85546875" style="535" customWidth="1"/>
    <col min="1042" max="1044" width="7.7109375" style="535" customWidth="1"/>
    <col min="1045" max="1045" width="9.5703125" style="535" customWidth="1"/>
    <col min="1046" max="1046" width="8.85546875" style="535" customWidth="1"/>
    <col min="1047" max="1050" width="7.7109375" style="535" customWidth="1"/>
    <col min="1051" max="1051" width="9" style="535" bestFit="1" customWidth="1"/>
    <col min="1052" max="1280" width="16.5703125" style="535"/>
    <col min="1281" max="1281" width="3.7109375" style="535" customWidth="1"/>
    <col min="1282" max="1282" width="20.7109375" style="535" bestFit="1" customWidth="1"/>
    <col min="1283" max="1283" width="27.5703125" style="535" bestFit="1" customWidth="1"/>
    <col min="1284" max="1284" width="13" style="535" bestFit="1" customWidth="1"/>
    <col min="1285" max="1285" width="12.85546875" style="535" customWidth="1"/>
    <col min="1286" max="1286" width="15" style="535" bestFit="1" customWidth="1"/>
    <col min="1287" max="1287" width="15.28515625" style="535" bestFit="1" customWidth="1"/>
    <col min="1288" max="1288" width="13.85546875" style="535" bestFit="1" customWidth="1"/>
    <col min="1289" max="1291" width="7.7109375" style="535" customWidth="1"/>
    <col min="1292" max="1292" width="8.85546875" style="535" customWidth="1"/>
    <col min="1293" max="1296" width="7.7109375" style="535" customWidth="1"/>
    <col min="1297" max="1297" width="8.85546875" style="535" customWidth="1"/>
    <col min="1298" max="1300" width="7.7109375" style="535" customWidth="1"/>
    <col min="1301" max="1301" width="9.5703125" style="535" customWidth="1"/>
    <col min="1302" max="1302" width="8.85546875" style="535" customWidth="1"/>
    <col min="1303" max="1306" width="7.7109375" style="535" customWidth="1"/>
    <col min="1307" max="1307" width="9" style="535" bestFit="1" customWidth="1"/>
    <col min="1308" max="1536" width="16.5703125" style="535"/>
    <col min="1537" max="1537" width="3.7109375" style="535" customWidth="1"/>
    <col min="1538" max="1538" width="20.7109375" style="535" bestFit="1" customWidth="1"/>
    <col min="1539" max="1539" width="27.5703125" style="535" bestFit="1" customWidth="1"/>
    <col min="1540" max="1540" width="13" style="535" bestFit="1" customWidth="1"/>
    <col min="1541" max="1541" width="12.85546875" style="535" customWidth="1"/>
    <col min="1542" max="1542" width="15" style="535" bestFit="1" customWidth="1"/>
    <col min="1543" max="1543" width="15.28515625" style="535" bestFit="1" customWidth="1"/>
    <col min="1544" max="1544" width="13.85546875" style="535" bestFit="1" customWidth="1"/>
    <col min="1545" max="1547" width="7.7109375" style="535" customWidth="1"/>
    <col min="1548" max="1548" width="8.85546875" style="535" customWidth="1"/>
    <col min="1549" max="1552" width="7.7109375" style="535" customWidth="1"/>
    <col min="1553" max="1553" width="8.85546875" style="535" customWidth="1"/>
    <col min="1554" max="1556" width="7.7109375" style="535" customWidth="1"/>
    <col min="1557" max="1557" width="9.5703125" style="535" customWidth="1"/>
    <col min="1558" max="1558" width="8.85546875" style="535" customWidth="1"/>
    <col min="1559" max="1562" width="7.7109375" style="535" customWidth="1"/>
    <col min="1563" max="1563" width="9" style="535" bestFit="1" customWidth="1"/>
    <col min="1564" max="1792" width="16.5703125" style="535"/>
    <col min="1793" max="1793" width="3.7109375" style="535" customWidth="1"/>
    <col min="1794" max="1794" width="20.7109375" style="535" bestFit="1" customWidth="1"/>
    <col min="1795" max="1795" width="27.5703125" style="535" bestFit="1" customWidth="1"/>
    <col min="1796" max="1796" width="13" style="535" bestFit="1" customWidth="1"/>
    <col min="1797" max="1797" width="12.85546875" style="535" customWidth="1"/>
    <col min="1798" max="1798" width="15" style="535" bestFit="1" customWidth="1"/>
    <col min="1799" max="1799" width="15.28515625" style="535" bestFit="1" customWidth="1"/>
    <col min="1800" max="1800" width="13.85546875" style="535" bestFit="1" customWidth="1"/>
    <col min="1801" max="1803" width="7.7109375" style="535" customWidth="1"/>
    <col min="1804" max="1804" width="8.85546875" style="535" customWidth="1"/>
    <col min="1805" max="1808" width="7.7109375" style="535" customWidth="1"/>
    <col min="1809" max="1809" width="8.85546875" style="535" customWidth="1"/>
    <col min="1810" max="1812" width="7.7109375" style="535" customWidth="1"/>
    <col min="1813" max="1813" width="9.5703125" style="535" customWidth="1"/>
    <col min="1814" max="1814" width="8.85546875" style="535" customWidth="1"/>
    <col min="1815" max="1818" width="7.7109375" style="535" customWidth="1"/>
    <col min="1819" max="1819" width="9" style="535" bestFit="1" customWidth="1"/>
    <col min="1820" max="2048" width="16.5703125" style="535"/>
    <col min="2049" max="2049" width="3.7109375" style="535" customWidth="1"/>
    <col min="2050" max="2050" width="20.7109375" style="535" bestFit="1" customWidth="1"/>
    <col min="2051" max="2051" width="27.5703125" style="535" bestFit="1" customWidth="1"/>
    <col min="2052" max="2052" width="13" style="535" bestFit="1" customWidth="1"/>
    <col min="2053" max="2053" width="12.85546875" style="535" customWidth="1"/>
    <col min="2054" max="2054" width="15" style="535" bestFit="1" customWidth="1"/>
    <col min="2055" max="2055" width="15.28515625" style="535" bestFit="1" customWidth="1"/>
    <col min="2056" max="2056" width="13.85546875" style="535" bestFit="1" customWidth="1"/>
    <col min="2057" max="2059" width="7.7109375" style="535" customWidth="1"/>
    <col min="2060" max="2060" width="8.85546875" style="535" customWidth="1"/>
    <col min="2061" max="2064" width="7.7109375" style="535" customWidth="1"/>
    <col min="2065" max="2065" width="8.85546875" style="535" customWidth="1"/>
    <col min="2066" max="2068" width="7.7109375" style="535" customWidth="1"/>
    <col min="2069" max="2069" width="9.5703125" style="535" customWidth="1"/>
    <col min="2070" max="2070" width="8.85546875" style="535" customWidth="1"/>
    <col min="2071" max="2074" width="7.7109375" style="535" customWidth="1"/>
    <col min="2075" max="2075" width="9" style="535" bestFit="1" customWidth="1"/>
    <col min="2076" max="2304" width="16.5703125" style="535"/>
    <col min="2305" max="2305" width="3.7109375" style="535" customWidth="1"/>
    <col min="2306" max="2306" width="20.7109375" style="535" bestFit="1" customWidth="1"/>
    <col min="2307" max="2307" width="27.5703125" style="535" bestFit="1" customWidth="1"/>
    <col min="2308" max="2308" width="13" style="535" bestFit="1" customWidth="1"/>
    <col min="2309" max="2309" width="12.85546875" style="535" customWidth="1"/>
    <col min="2310" max="2310" width="15" style="535" bestFit="1" customWidth="1"/>
    <col min="2311" max="2311" width="15.28515625" style="535" bestFit="1" customWidth="1"/>
    <col min="2312" max="2312" width="13.85546875" style="535" bestFit="1" customWidth="1"/>
    <col min="2313" max="2315" width="7.7109375" style="535" customWidth="1"/>
    <col min="2316" max="2316" width="8.85546875" style="535" customWidth="1"/>
    <col min="2317" max="2320" width="7.7109375" style="535" customWidth="1"/>
    <col min="2321" max="2321" width="8.85546875" style="535" customWidth="1"/>
    <col min="2322" max="2324" width="7.7109375" style="535" customWidth="1"/>
    <col min="2325" max="2325" width="9.5703125" style="535" customWidth="1"/>
    <col min="2326" max="2326" width="8.85546875" style="535" customWidth="1"/>
    <col min="2327" max="2330" width="7.7109375" style="535" customWidth="1"/>
    <col min="2331" max="2331" width="9" style="535" bestFit="1" customWidth="1"/>
    <col min="2332" max="2560" width="16.5703125" style="535"/>
    <col min="2561" max="2561" width="3.7109375" style="535" customWidth="1"/>
    <col min="2562" max="2562" width="20.7109375" style="535" bestFit="1" customWidth="1"/>
    <col min="2563" max="2563" width="27.5703125" style="535" bestFit="1" customWidth="1"/>
    <col min="2564" max="2564" width="13" style="535" bestFit="1" customWidth="1"/>
    <col min="2565" max="2565" width="12.85546875" style="535" customWidth="1"/>
    <col min="2566" max="2566" width="15" style="535" bestFit="1" customWidth="1"/>
    <col min="2567" max="2567" width="15.28515625" style="535" bestFit="1" customWidth="1"/>
    <col min="2568" max="2568" width="13.85546875" style="535" bestFit="1" customWidth="1"/>
    <col min="2569" max="2571" width="7.7109375" style="535" customWidth="1"/>
    <col min="2572" max="2572" width="8.85546875" style="535" customWidth="1"/>
    <col min="2573" max="2576" width="7.7109375" style="535" customWidth="1"/>
    <col min="2577" max="2577" width="8.85546875" style="535" customWidth="1"/>
    <col min="2578" max="2580" width="7.7109375" style="535" customWidth="1"/>
    <col min="2581" max="2581" width="9.5703125" style="535" customWidth="1"/>
    <col min="2582" max="2582" width="8.85546875" style="535" customWidth="1"/>
    <col min="2583" max="2586" width="7.7109375" style="535" customWidth="1"/>
    <col min="2587" max="2587" width="9" style="535" bestFit="1" customWidth="1"/>
    <col min="2588" max="2816" width="16.5703125" style="535"/>
    <col min="2817" max="2817" width="3.7109375" style="535" customWidth="1"/>
    <col min="2818" max="2818" width="20.7109375" style="535" bestFit="1" customWidth="1"/>
    <col min="2819" max="2819" width="27.5703125" style="535" bestFit="1" customWidth="1"/>
    <col min="2820" max="2820" width="13" style="535" bestFit="1" customWidth="1"/>
    <col min="2821" max="2821" width="12.85546875" style="535" customWidth="1"/>
    <col min="2822" max="2822" width="15" style="535" bestFit="1" customWidth="1"/>
    <col min="2823" max="2823" width="15.28515625" style="535" bestFit="1" customWidth="1"/>
    <col min="2824" max="2824" width="13.85546875" style="535" bestFit="1" customWidth="1"/>
    <col min="2825" max="2827" width="7.7109375" style="535" customWidth="1"/>
    <col min="2828" max="2828" width="8.85546875" style="535" customWidth="1"/>
    <col min="2829" max="2832" width="7.7109375" style="535" customWidth="1"/>
    <col min="2833" max="2833" width="8.85546875" style="535" customWidth="1"/>
    <col min="2834" max="2836" width="7.7109375" style="535" customWidth="1"/>
    <col min="2837" max="2837" width="9.5703125" style="535" customWidth="1"/>
    <col min="2838" max="2838" width="8.85546875" style="535" customWidth="1"/>
    <col min="2839" max="2842" width="7.7109375" style="535" customWidth="1"/>
    <col min="2843" max="2843" width="9" style="535" bestFit="1" customWidth="1"/>
    <col min="2844" max="3072" width="16.5703125" style="535"/>
    <col min="3073" max="3073" width="3.7109375" style="535" customWidth="1"/>
    <col min="3074" max="3074" width="20.7109375" style="535" bestFit="1" customWidth="1"/>
    <col min="3075" max="3075" width="27.5703125" style="535" bestFit="1" customWidth="1"/>
    <col min="3076" max="3076" width="13" style="535" bestFit="1" customWidth="1"/>
    <col min="3077" max="3077" width="12.85546875" style="535" customWidth="1"/>
    <col min="3078" max="3078" width="15" style="535" bestFit="1" customWidth="1"/>
    <col min="3079" max="3079" width="15.28515625" style="535" bestFit="1" customWidth="1"/>
    <col min="3080" max="3080" width="13.85546875" style="535" bestFit="1" customWidth="1"/>
    <col min="3081" max="3083" width="7.7109375" style="535" customWidth="1"/>
    <col min="3084" max="3084" width="8.85546875" style="535" customWidth="1"/>
    <col min="3085" max="3088" width="7.7109375" style="535" customWidth="1"/>
    <col min="3089" max="3089" width="8.85546875" style="535" customWidth="1"/>
    <col min="3090" max="3092" width="7.7109375" style="535" customWidth="1"/>
    <col min="3093" max="3093" width="9.5703125" style="535" customWidth="1"/>
    <col min="3094" max="3094" width="8.85546875" style="535" customWidth="1"/>
    <col min="3095" max="3098" width="7.7109375" style="535" customWidth="1"/>
    <col min="3099" max="3099" width="9" style="535" bestFit="1" customWidth="1"/>
    <col min="3100" max="3328" width="16.5703125" style="535"/>
    <col min="3329" max="3329" width="3.7109375" style="535" customWidth="1"/>
    <col min="3330" max="3330" width="20.7109375" style="535" bestFit="1" customWidth="1"/>
    <col min="3331" max="3331" width="27.5703125" style="535" bestFit="1" customWidth="1"/>
    <col min="3332" max="3332" width="13" style="535" bestFit="1" customWidth="1"/>
    <col min="3333" max="3333" width="12.85546875" style="535" customWidth="1"/>
    <col min="3334" max="3334" width="15" style="535" bestFit="1" customWidth="1"/>
    <col min="3335" max="3335" width="15.28515625" style="535" bestFit="1" customWidth="1"/>
    <col min="3336" max="3336" width="13.85546875" style="535" bestFit="1" customWidth="1"/>
    <col min="3337" max="3339" width="7.7109375" style="535" customWidth="1"/>
    <col min="3340" max="3340" width="8.85546875" style="535" customWidth="1"/>
    <col min="3341" max="3344" width="7.7109375" style="535" customWidth="1"/>
    <col min="3345" max="3345" width="8.85546875" style="535" customWidth="1"/>
    <col min="3346" max="3348" width="7.7109375" style="535" customWidth="1"/>
    <col min="3349" max="3349" width="9.5703125" style="535" customWidth="1"/>
    <col min="3350" max="3350" width="8.85546875" style="535" customWidth="1"/>
    <col min="3351" max="3354" width="7.7109375" style="535" customWidth="1"/>
    <col min="3355" max="3355" width="9" style="535" bestFit="1" customWidth="1"/>
    <col min="3356" max="3584" width="16.5703125" style="535"/>
    <col min="3585" max="3585" width="3.7109375" style="535" customWidth="1"/>
    <col min="3586" max="3586" width="20.7109375" style="535" bestFit="1" customWidth="1"/>
    <col min="3587" max="3587" width="27.5703125" style="535" bestFit="1" customWidth="1"/>
    <col min="3588" max="3588" width="13" style="535" bestFit="1" customWidth="1"/>
    <col min="3589" max="3589" width="12.85546875" style="535" customWidth="1"/>
    <col min="3590" max="3590" width="15" style="535" bestFit="1" customWidth="1"/>
    <col min="3591" max="3591" width="15.28515625" style="535" bestFit="1" customWidth="1"/>
    <col min="3592" max="3592" width="13.85546875" style="535" bestFit="1" customWidth="1"/>
    <col min="3593" max="3595" width="7.7109375" style="535" customWidth="1"/>
    <col min="3596" max="3596" width="8.85546875" style="535" customWidth="1"/>
    <col min="3597" max="3600" width="7.7109375" style="535" customWidth="1"/>
    <col min="3601" max="3601" width="8.85546875" style="535" customWidth="1"/>
    <col min="3602" max="3604" width="7.7109375" style="535" customWidth="1"/>
    <col min="3605" max="3605" width="9.5703125" style="535" customWidth="1"/>
    <col min="3606" max="3606" width="8.85546875" style="535" customWidth="1"/>
    <col min="3607" max="3610" width="7.7109375" style="535" customWidth="1"/>
    <col min="3611" max="3611" width="9" style="535" bestFit="1" customWidth="1"/>
    <col min="3612" max="3840" width="16.5703125" style="535"/>
    <col min="3841" max="3841" width="3.7109375" style="535" customWidth="1"/>
    <col min="3842" max="3842" width="20.7109375" style="535" bestFit="1" customWidth="1"/>
    <col min="3843" max="3843" width="27.5703125" style="535" bestFit="1" customWidth="1"/>
    <col min="3844" max="3844" width="13" style="535" bestFit="1" customWidth="1"/>
    <col min="3845" max="3845" width="12.85546875" style="535" customWidth="1"/>
    <col min="3846" max="3846" width="15" style="535" bestFit="1" customWidth="1"/>
    <col min="3847" max="3847" width="15.28515625" style="535" bestFit="1" customWidth="1"/>
    <col min="3848" max="3848" width="13.85546875" style="535" bestFit="1" customWidth="1"/>
    <col min="3849" max="3851" width="7.7109375" style="535" customWidth="1"/>
    <col min="3852" max="3852" width="8.85546875" style="535" customWidth="1"/>
    <col min="3853" max="3856" width="7.7109375" style="535" customWidth="1"/>
    <col min="3857" max="3857" width="8.85546875" style="535" customWidth="1"/>
    <col min="3858" max="3860" width="7.7109375" style="535" customWidth="1"/>
    <col min="3861" max="3861" width="9.5703125" style="535" customWidth="1"/>
    <col min="3862" max="3862" width="8.85546875" style="535" customWidth="1"/>
    <col min="3863" max="3866" width="7.7109375" style="535" customWidth="1"/>
    <col min="3867" max="3867" width="9" style="535" bestFit="1" customWidth="1"/>
    <col min="3868" max="4096" width="16.5703125" style="535"/>
    <col min="4097" max="4097" width="3.7109375" style="535" customWidth="1"/>
    <col min="4098" max="4098" width="20.7109375" style="535" bestFit="1" customWidth="1"/>
    <col min="4099" max="4099" width="27.5703125" style="535" bestFit="1" customWidth="1"/>
    <col min="4100" max="4100" width="13" style="535" bestFit="1" customWidth="1"/>
    <col min="4101" max="4101" width="12.85546875" style="535" customWidth="1"/>
    <col min="4102" max="4102" width="15" style="535" bestFit="1" customWidth="1"/>
    <col min="4103" max="4103" width="15.28515625" style="535" bestFit="1" customWidth="1"/>
    <col min="4104" max="4104" width="13.85546875" style="535" bestFit="1" customWidth="1"/>
    <col min="4105" max="4107" width="7.7109375" style="535" customWidth="1"/>
    <col min="4108" max="4108" width="8.85546875" style="535" customWidth="1"/>
    <col min="4109" max="4112" width="7.7109375" style="535" customWidth="1"/>
    <col min="4113" max="4113" width="8.85546875" style="535" customWidth="1"/>
    <col min="4114" max="4116" width="7.7109375" style="535" customWidth="1"/>
    <col min="4117" max="4117" width="9.5703125" style="535" customWidth="1"/>
    <col min="4118" max="4118" width="8.85546875" style="535" customWidth="1"/>
    <col min="4119" max="4122" width="7.7109375" style="535" customWidth="1"/>
    <col min="4123" max="4123" width="9" style="535" bestFit="1" customWidth="1"/>
    <col min="4124" max="4352" width="16.5703125" style="535"/>
    <col min="4353" max="4353" width="3.7109375" style="535" customWidth="1"/>
    <col min="4354" max="4354" width="20.7109375" style="535" bestFit="1" customWidth="1"/>
    <col min="4355" max="4355" width="27.5703125" style="535" bestFit="1" customWidth="1"/>
    <col min="4356" max="4356" width="13" style="535" bestFit="1" customWidth="1"/>
    <col min="4357" max="4357" width="12.85546875" style="535" customWidth="1"/>
    <col min="4358" max="4358" width="15" style="535" bestFit="1" customWidth="1"/>
    <col min="4359" max="4359" width="15.28515625" style="535" bestFit="1" customWidth="1"/>
    <col min="4360" max="4360" width="13.85546875" style="535" bestFit="1" customWidth="1"/>
    <col min="4361" max="4363" width="7.7109375" style="535" customWidth="1"/>
    <col min="4364" max="4364" width="8.85546875" style="535" customWidth="1"/>
    <col min="4365" max="4368" width="7.7109375" style="535" customWidth="1"/>
    <col min="4369" max="4369" width="8.85546875" style="535" customWidth="1"/>
    <col min="4370" max="4372" width="7.7109375" style="535" customWidth="1"/>
    <col min="4373" max="4373" width="9.5703125" style="535" customWidth="1"/>
    <col min="4374" max="4374" width="8.85546875" style="535" customWidth="1"/>
    <col min="4375" max="4378" width="7.7109375" style="535" customWidth="1"/>
    <col min="4379" max="4379" width="9" style="535" bestFit="1" customWidth="1"/>
    <col min="4380" max="4608" width="16.5703125" style="535"/>
    <col min="4609" max="4609" width="3.7109375" style="535" customWidth="1"/>
    <col min="4610" max="4610" width="20.7109375" style="535" bestFit="1" customWidth="1"/>
    <col min="4611" max="4611" width="27.5703125" style="535" bestFit="1" customWidth="1"/>
    <col min="4612" max="4612" width="13" style="535" bestFit="1" customWidth="1"/>
    <col min="4613" max="4613" width="12.85546875" style="535" customWidth="1"/>
    <col min="4614" max="4614" width="15" style="535" bestFit="1" customWidth="1"/>
    <col min="4615" max="4615" width="15.28515625" style="535" bestFit="1" customWidth="1"/>
    <col min="4616" max="4616" width="13.85546875" style="535" bestFit="1" customWidth="1"/>
    <col min="4617" max="4619" width="7.7109375" style="535" customWidth="1"/>
    <col min="4620" max="4620" width="8.85546875" style="535" customWidth="1"/>
    <col min="4621" max="4624" width="7.7109375" style="535" customWidth="1"/>
    <col min="4625" max="4625" width="8.85546875" style="535" customWidth="1"/>
    <col min="4626" max="4628" width="7.7109375" style="535" customWidth="1"/>
    <col min="4629" max="4629" width="9.5703125" style="535" customWidth="1"/>
    <col min="4630" max="4630" width="8.85546875" style="535" customWidth="1"/>
    <col min="4631" max="4634" width="7.7109375" style="535" customWidth="1"/>
    <col min="4635" max="4635" width="9" style="535" bestFit="1" customWidth="1"/>
    <col min="4636" max="4864" width="16.5703125" style="535"/>
    <col min="4865" max="4865" width="3.7109375" style="535" customWidth="1"/>
    <col min="4866" max="4866" width="20.7109375" style="535" bestFit="1" customWidth="1"/>
    <col min="4867" max="4867" width="27.5703125" style="535" bestFit="1" customWidth="1"/>
    <col min="4868" max="4868" width="13" style="535" bestFit="1" customWidth="1"/>
    <col min="4869" max="4869" width="12.85546875" style="535" customWidth="1"/>
    <col min="4870" max="4870" width="15" style="535" bestFit="1" customWidth="1"/>
    <col min="4871" max="4871" width="15.28515625" style="535" bestFit="1" customWidth="1"/>
    <col min="4872" max="4872" width="13.85546875" style="535" bestFit="1" customWidth="1"/>
    <col min="4873" max="4875" width="7.7109375" style="535" customWidth="1"/>
    <col min="4876" max="4876" width="8.85546875" style="535" customWidth="1"/>
    <col min="4877" max="4880" width="7.7109375" style="535" customWidth="1"/>
    <col min="4881" max="4881" width="8.85546875" style="535" customWidth="1"/>
    <col min="4882" max="4884" width="7.7109375" style="535" customWidth="1"/>
    <col min="4885" max="4885" width="9.5703125" style="535" customWidth="1"/>
    <col min="4886" max="4886" width="8.85546875" style="535" customWidth="1"/>
    <col min="4887" max="4890" width="7.7109375" style="535" customWidth="1"/>
    <col min="4891" max="4891" width="9" style="535" bestFit="1" customWidth="1"/>
    <col min="4892" max="5120" width="16.5703125" style="535"/>
    <col min="5121" max="5121" width="3.7109375" style="535" customWidth="1"/>
    <col min="5122" max="5122" width="20.7109375" style="535" bestFit="1" customWidth="1"/>
    <col min="5123" max="5123" width="27.5703125" style="535" bestFit="1" customWidth="1"/>
    <col min="5124" max="5124" width="13" style="535" bestFit="1" customWidth="1"/>
    <col min="5125" max="5125" width="12.85546875" style="535" customWidth="1"/>
    <col min="5126" max="5126" width="15" style="535" bestFit="1" customWidth="1"/>
    <col min="5127" max="5127" width="15.28515625" style="535" bestFit="1" customWidth="1"/>
    <col min="5128" max="5128" width="13.85546875" style="535" bestFit="1" customWidth="1"/>
    <col min="5129" max="5131" width="7.7109375" style="535" customWidth="1"/>
    <col min="5132" max="5132" width="8.85546875" style="535" customWidth="1"/>
    <col min="5133" max="5136" width="7.7109375" style="535" customWidth="1"/>
    <col min="5137" max="5137" width="8.85546875" style="535" customWidth="1"/>
    <col min="5138" max="5140" width="7.7109375" style="535" customWidth="1"/>
    <col min="5141" max="5141" width="9.5703125" style="535" customWidth="1"/>
    <col min="5142" max="5142" width="8.85546875" style="535" customWidth="1"/>
    <col min="5143" max="5146" width="7.7109375" style="535" customWidth="1"/>
    <col min="5147" max="5147" width="9" style="535" bestFit="1" customWidth="1"/>
    <col min="5148" max="5376" width="16.5703125" style="535"/>
    <col min="5377" max="5377" width="3.7109375" style="535" customWidth="1"/>
    <col min="5378" max="5378" width="20.7109375" style="535" bestFit="1" customWidth="1"/>
    <col min="5379" max="5379" width="27.5703125" style="535" bestFit="1" customWidth="1"/>
    <col min="5380" max="5380" width="13" style="535" bestFit="1" customWidth="1"/>
    <col min="5381" max="5381" width="12.85546875" style="535" customWidth="1"/>
    <col min="5382" max="5382" width="15" style="535" bestFit="1" customWidth="1"/>
    <col min="5383" max="5383" width="15.28515625" style="535" bestFit="1" customWidth="1"/>
    <col min="5384" max="5384" width="13.85546875" style="535" bestFit="1" customWidth="1"/>
    <col min="5385" max="5387" width="7.7109375" style="535" customWidth="1"/>
    <col min="5388" max="5388" width="8.85546875" style="535" customWidth="1"/>
    <col min="5389" max="5392" width="7.7109375" style="535" customWidth="1"/>
    <col min="5393" max="5393" width="8.85546875" style="535" customWidth="1"/>
    <col min="5394" max="5396" width="7.7109375" style="535" customWidth="1"/>
    <col min="5397" max="5397" width="9.5703125" style="535" customWidth="1"/>
    <col min="5398" max="5398" width="8.85546875" style="535" customWidth="1"/>
    <col min="5399" max="5402" width="7.7109375" style="535" customWidth="1"/>
    <col min="5403" max="5403" width="9" style="535" bestFit="1" customWidth="1"/>
    <col min="5404" max="5632" width="16.5703125" style="535"/>
    <col min="5633" max="5633" width="3.7109375" style="535" customWidth="1"/>
    <col min="5634" max="5634" width="20.7109375" style="535" bestFit="1" customWidth="1"/>
    <col min="5635" max="5635" width="27.5703125" style="535" bestFit="1" customWidth="1"/>
    <col min="5636" max="5636" width="13" style="535" bestFit="1" customWidth="1"/>
    <col min="5637" max="5637" width="12.85546875" style="535" customWidth="1"/>
    <col min="5638" max="5638" width="15" style="535" bestFit="1" customWidth="1"/>
    <col min="5639" max="5639" width="15.28515625" style="535" bestFit="1" customWidth="1"/>
    <col min="5640" max="5640" width="13.85546875" style="535" bestFit="1" customWidth="1"/>
    <col min="5641" max="5643" width="7.7109375" style="535" customWidth="1"/>
    <col min="5644" max="5644" width="8.85546875" style="535" customWidth="1"/>
    <col min="5645" max="5648" width="7.7109375" style="535" customWidth="1"/>
    <col min="5649" max="5649" width="8.85546875" style="535" customWidth="1"/>
    <col min="5650" max="5652" width="7.7109375" style="535" customWidth="1"/>
    <col min="5653" max="5653" width="9.5703125" style="535" customWidth="1"/>
    <col min="5654" max="5654" width="8.85546875" style="535" customWidth="1"/>
    <col min="5655" max="5658" width="7.7109375" style="535" customWidth="1"/>
    <col min="5659" max="5659" width="9" style="535" bestFit="1" customWidth="1"/>
    <col min="5660" max="5888" width="16.5703125" style="535"/>
    <col min="5889" max="5889" width="3.7109375" style="535" customWidth="1"/>
    <col min="5890" max="5890" width="20.7109375" style="535" bestFit="1" customWidth="1"/>
    <col min="5891" max="5891" width="27.5703125" style="535" bestFit="1" customWidth="1"/>
    <col min="5892" max="5892" width="13" style="535" bestFit="1" customWidth="1"/>
    <col min="5893" max="5893" width="12.85546875" style="535" customWidth="1"/>
    <col min="5894" max="5894" width="15" style="535" bestFit="1" customWidth="1"/>
    <col min="5895" max="5895" width="15.28515625" style="535" bestFit="1" customWidth="1"/>
    <col min="5896" max="5896" width="13.85546875" style="535" bestFit="1" customWidth="1"/>
    <col min="5897" max="5899" width="7.7109375" style="535" customWidth="1"/>
    <col min="5900" max="5900" width="8.85546875" style="535" customWidth="1"/>
    <col min="5901" max="5904" width="7.7109375" style="535" customWidth="1"/>
    <col min="5905" max="5905" width="8.85546875" style="535" customWidth="1"/>
    <col min="5906" max="5908" width="7.7109375" style="535" customWidth="1"/>
    <col min="5909" max="5909" width="9.5703125" style="535" customWidth="1"/>
    <col min="5910" max="5910" width="8.85546875" style="535" customWidth="1"/>
    <col min="5911" max="5914" width="7.7109375" style="535" customWidth="1"/>
    <col min="5915" max="5915" width="9" style="535" bestFit="1" customWidth="1"/>
    <col min="5916" max="6144" width="16.5703125" style="535"/>
    <col min="6145" max="6145" width="3.7109375" style="535" customWidth="1"/>
    <col min="6146" max="6146" width="20.7109375" style="535" bestFit="1" customWidth="1"/>
    <col min="6147" max="6147" width="27.5703125" style="535" bestFit="1" customWidth="1"/>
    <col min="6148" max="6148" width="13" style="535" bestFit="1" customWidth="1"/>
    <col min="6149" max="6149" width="12.85546875" style="535" customWidth="1"/>
    <col min="6150" max="6150" width="15" style="535" bestFit="1" customWidth="1"/>
    <col min="6151" max="6151" width="15.28515625" style="535" bestFit="1" customWidth="1"/>
    <col min="6152" max="6152" width="13.85546875" style="535" bestFit="1" customWidth="1"/>
    <col min="6153" max="6155" width="7.7109375" style="535" customWidth="1"/>
    <col min="6156" max="6156" width="8.85546875" style="535" customWidth="1"/>
    <col min="6157" max="6160" width="7.7109375" style="535" customWidth="1"/>
    <col min="6161" max="6161" width="8.85546875" style="535" customWidth="1"/>
    <col min="6162" max="6164" width="7.7109375" style="535" customWidth="1"/>
    <col min="6165" max="6165" width="9.5703125" style="535" customWidth="1"/>
    <col min="6166" max="6166" width="8.85546875" style="535" customWidth="1"/>
    <col min="6167" max="6170" width="7.7109375" style="535" customWidth="1"/>
    <col min="6171" max="6171" width="9" style="535" bestFit="1" customWidth="1"/>
    <col min="6172" max="6400" width="16.5703125" style="535"/>
    <col min="6401" max="6401" width="3.7109375" style="535" customWidth="1"/>
    <col min="6402" max="6402" width="20.7109375" style="535" bestFit="1" customWidth="1"/>
    <col min="6403" max="6403" width="27.5703125" style="535" bestFit="1" customWidth="1"/>
    <col min="6404" max="6404" width="13" style="535" bestFit="1" customWidth="1"/>
    <col min="6405" max="6405" width="12.85546875" style="535" customWidth="1"/>
    <col min="6406" max="6406" width="15" style="535" bestFit="1" customWidth="1"/>
    <col min="6407" max="6407" width="15.28515625" style="535" bestFit="1" customWidth="1"/>
    <col min="6408" max="6408" width="13.85546875" style="535" bestFit="1" customWidth="1"/>
    <col min="6409" max="6411" width="7.7109375" style="535" customWidth="1"/>
    <col min="6412" max="6412" width="8.85546875" style="535" customWidth="1"/>
    <col min="6413" max="6416" width="7.7109375" style="535" customWidth="1"/>
    <col min="6417" max="6417" width="8.85546875" style="535" customWidth="1"/>
    <col min="6418" max="6420" width="7.7109375" style="535" customWidth="1"/>
    <col min="6421" max="6421" width="9.5703125" style="535" customWidth="1"/>
    <col min="6422" max="6422" width="8.85546875" style="535" customWidth="1"/>
    <col min="6423" max="6426" width="7.7109375" style="535" customWidth="1"/>
    <col min="6427" max="6427" width="9" style="535" bestFit="1" customWidth="1"/>
    <col min="6428" max="6656" width="16.5703125" style="535"/>
    <col min="6657" max="6657" width="3.7109375" style="535" customWidth="1"/>
    <col min="6658" max="6658" width="20.7109375" style="535" bestFit="1" customWidth="1"/>
    <col min="6659" max="6659" width="27.5703125" style="535" bestFit="1" customWidth="1"/>
    <col min="6660" max="6660" width="13" style="535" bestFit="1" customWidth="1"/>
    <col min="6661" max="6661" width="12.85546875" style="535" customWidth="1"/>
    <col min="6662" max="6662" width="15" style="535" bestFit="1" customWidth="1"/>
    <col min="6663" max="6663" width="15.28515625" style="535" bestFit="1" customWidth="1"/>
    <col min="6664" max="6664" width="13.85546875" style="535" bestFit="1" customWidth="1"/>
    <col min="6665" max="6667" width="7.7109375" style="535" customWidth="1"/>
    <col min="6668" max="6668" width="8.85546875" style="535" customWidth="1"/>
    <col min="6669" max="6672" width="7.7109375" style="535" customWidth="1"/>
    <col min="6673" max="6673" width="8.85546875" style="535" customWidth="1"/>
    <col min="6674" max="6676" width="7.7109375" style="535" customWidth="1"/>
    <col min="6677" max="6677" width="9.5703125" style="535" customWidth="1"/>
    <col min="6678" max="6678" width="8.85546875" style="535" customWidth="1"/>
    <col min="6679" max="6682" width="7.7109375" style="535" customWidth="1"/>
    <col min="6683" max="6683" width="9" style="535" bestFit="1" customWidth="1"/>
    <col min="6684" max="6912" width="16.5703125" style="535"/>
    <col min="6913" max="6913" width="3.7109375" style="535" customWidth="1"/>
    <col min="6914" max="6914" width="20.7109375" style="535" bestFit="1" customWidth="1"/>
    <col min="6915" max="6915" width="27.5703125" style="535" bestFit="1" customWidth="1"/>
    <col min="6916" max="6916" width="13" style="535" bestFit="1" customWidth="1"/>
    <col min="6917" max="6917" width="12.85546875" style="535" customWidth="1"/>
    <col min="6918" max="6918" width="15" style="535" bestFit="1" customWidth="1"/>
    <col min="6919" max="6919" width="15.28515625" style="535" bestFit="1" customWidth="1"/>
    <col min="6920" max="6920" width="13.85546875" style="535" bestFit="1" customWidth="1"/>
    <col min="6921" max="6923" width="7.7109375" style="535" customWidth="1"/>
    <col min="6924" max="6924" width="8.85546875" style="535" customWidth="1"/>
    <col min="6925" max="6928" width="7.7109375" style="535" customWidth="1"/>
    <col min="6929" max="6929" width="8.85546875" style="535" customWidth="1"/>
    <col min="6930" max="6932" width="7.7109375" style="535" customWidth="1"/>
    <col min="6933" max="6933" width="9.5703125" style="535" customWidth="1"/>
    <col min="6934" max="6934" width="8.85546875" style="535" customWidth="1"/>
    <col min="6935" max="6938" width="7.7109375" style="535" customWidth="1"/>
    <col min="6939" max="6939" width="9" style="535" bestFit="1" customWidth="1"/>
    <col min="6940" max="7168" width="16.5703125" style="535"/>
    <col min="7169" max="7169" width="3.7109375" style="535" customWidth="1"/>
    <col min="7170" max="7170" width="20.7109375" style="535" bestFit="1" customWidth="1"/>
    <col min="7171" max="7171" width="27.5703125" style="535" bestFit="1" customWidth="1"/>
    <col min="7172" max="7172" width="13" style="535" bestFit="1" customWidth="1"/>
    <col min="7173" max="7173" width="12.85546875" style="535" customWidth="1"/>
    <col min="7174" max="7174" width="15" style="535" bestFit="1" customWidth="1"/>
    <col min="7175" max="7175" width="15.28515625" style="535" bestFit="1" customWidth="1"/>
    <col min="7176" max="7176" width="13.85546875" style="535" bestFit="1" customWidth="1"/>
    <col min="7177" max="7179" width="7.7109375" style="535" customWidth="1"/>
    <col min="7180" max="7180" width="8.85546875" style="535" customWidth="1"/>
    <col min="7181" max="7184" width="7.7109375" style="535" customWidth="1"/>
    <col min="7185" max="7185" width="8.85546875" style="535" customWidth="1"/>
    <col min="7186" max="7188" width="7.7109375" style="535" customWidth="1"/>
    <col min="7189" max="7189" width="9.5703125" style="535" customWidth="1"/>
    <col min="7190" max="7190" width="8.85546875" style="535" customWidth="1"/>
    <col min="7191" max="7194" width="7.7109375" style="535" customWidth="1"/>
    <col min="7195" max="7195" width="9" style="535" bestFit="1" customWidth="1"/>
    <col min="7196" max="7424" width="16.5703125" style="535"/>
    <col min="7425" max="7425" width="3.7109375" style="535" customWidth="1"/>
    <col min="7426" max="7426" width="20.7109375" style="535" bestFit="1" customWidth="1"/>
    <col min="7427" max="7427" width="27.5703125" style="535" bestFit="1" customWidth="1"/>
    <col min="7428" max="7428" width="13" style="535" bestFit="1" customWidth="1"/>
    <col min="7429" max="7429" width="12.85546875" style="535" customWidth="1"/>
    <col min="7430" max="7430" width="15" style="535" bestFit="1" customWidth="1"/>
    <col min="7431" max="7431" width="15.28515625" style="535" bestFit="1" customWidth="1"/>
    <col min="7432" max="7432" width="13.85546875" style="535" bestFit="1" customWidth="1"/>
    <col min="7433" max="7435" width="7.7109375" style="535" customWidth="1"/>
    <col min="7436" max="7436" width="8.85546875" style="535" customWidth="1"/>
    <col min="7437" max="7440" width="7.7109375" style="535" customWidth="1"/>
    <col min="7441" max="7441" width="8.85546875" style="535" customWidth="1"/>
    <col min="7442" max="7444" width="7.7109375" style="535" customWidth="1"/>
    <col min="7445" max="7445" width="9.5703125" style="535" customWidth="1"/>
    <col min="7446" max="7446" width="8.85546875" style="535" customWidth="1"/>
    <col min="7447" max="7450" width="7.7109375" style="535" customWidth="1"/>
    <col min="7451" max="7451" width="9" style="535" bestFit="1" customWidth="1"/>
    <col min="7452" max="7680" width="16.5703125" style="535"/>
    <col min="7681" max="7681" width="3.7109375" style="535" customWidth="1"/>
    <col min="7682" max="7682" width="20.7109375" style="535" bestFit="1" customWidth="1"/>
    <col min="7683" max="7683" width="27.5703125" style="535" bestFit="1" customWidth="1"/>
    <col min="7684" max="7684" width="13" style="535" bestFit="1" customWidth="1"/>
    <col min="7685" max="7685" width="12.85546875" style="535" customWidth="1"/>
    <col min="7686" max="7686" width="15" style="535" bestFit="1" customWidth="1"/>
    <col min="7687" max="7687" width="15.28515625" style="535" bestFit="1" customWidth="1"/>
    <col min="7688" max="7688" width="13.85546875" style="535" bestFit="1" customWidth="1"/>
    <col min="7689" max="7691" width="7.7109375" style="535" customWidth="1"/>
    <col min="7692" max="7692" width="8.85546875" style="535" customWidth="1"/>
    <col min="7693" max="7696" width="7.7109375" style="535" customWidth="1"/>
    <col min="7697" max="7697" width="8.85546875" style="535" customWidth="1"/>
    <col min="7698" max="7700" width="7.7109375" style="535" customWidth="1"/>
    <col min="7701" max="7701" width="9.5703125" style="535" customWidth="1"/>
    <col min="7702" max="7702" width="8.85546875" style="535" customWidth="1"/>
    <col min="7703" max="7706" width="7.7109375" style="535" customWidth="1"/>
    <col min="7707" max="7707" width="9" style="535" bestFit="1" customWidth="1"/>
    <col min="7708" max="7936" width="16.5703125" style="535"/>
    <col min="7937" max="7937" width="3.7109375" style="535" customWidth="1"/>
    <col min="7938" max="7938" width="20.7109375" style="535" bestFit="1" customWidth="1"/>
    <col min="7939" max="7939" width="27.5703125" style="535" bestFit="1" customWidth="1"/>
    <col min="7940" max="7940" width="13" style="535" bestFit="1" customWidth="1"/>
    <col min="7941" max="7941" width="12.85546875" style="535" customWidth="1"/>
    <col min="7942" max="7942" width="15" style="535" bestFit="1" customWidth="1"/>
    <col min="7943" max="7943" width="15.28515625" style="535" bestFit="1" customWidth="1"/>
    <col min="7944" max="7944" width="13.85546875" style="535" bestFit="1" customWidth="1"/>
    <col min="7945" max="7947" width="7.7109375" style="535" customWidth="1"/>
    <col min="7948" max="7948" width="8.85546875" style="535" customWidth="1"/>
    <col min="7949" max="7952" width="7.7109375" style="535" customWidth="1"/>
    <col min="7953" max="7953" width="8.85546875" style="535" customWidth="1"/>
    <col min="7954" max="7956" width="7.7109375" style="535" customWidth="1"/>
    <col min="7957" max="7957" width="9.5703125" style="535" customWidth="1"/>
    <col min="7958" max="7958" width="8.85546875" style="535" customWidth="1"/>
    <col min="7959" max="7962" width="7.7109375" style="535" customWidth="1"/>
    <col min="7963" max="7963" width="9" style="535" bestFit="1" customWidth="1"/>
    <col min="7964" max="8192" width="16.5703125" style="535"/>
    <col min="8193" max="8193" width="3.7109375" style="535" customWidth="1"/>
    <col min="8194" max="8194" width="20.7109375" style="535" bestFit="1" customWidth="1"/>
    <col min="8195" max="8195" width="27.5703125" style="535" bestFit="1" customWidth="1"/>
    <col min="8196" max="8196" width="13" style="535" bestFit="1" customWidth="1"/>
    <col min="8197" max="8197" width="12.85546875" style="535" customWidth="1"/>
    <col min="8198" max="8198" width="15" style="535" bestFit="1" customWidth="1"/>
    <col min="8199" max="8199" width="15.28515625" style="535" bestFit="1" customWidth="1"/>
    <col min="8200" max="8200" width="13.85546875" style="535" bestFit="1" customWidth="1"/>
    <col min="8201" max="8203" width="7.7109375" style="535" customWidth="1"/>
    <col min="8204" max="8204" width="8.85546875" style="535" customWidth="1"/>
    <col min="8205" max="8208" width="7.7109375" style="535" customWidth="1"/>
    <col min="8209" max="8209" width="8.85546875" style="535" customWidth="1"/>
    <col min="8210" max="8212" width="7.7109375" style="535" customWidth="1"/>
    <col min="8213" max="8213" width="9.5703125" style="535" customWidth="1"/>
    <col min="8214" max="8214" width="8.85546875" style="535" customWidth="1"/>
    <col min="8215" max="8218" width="7.7109375" style="535" customWidth="1"/>
    <col min="8219" max="8219" width="9" style="535" bestFit="1" customWidth="1"/>
    <col min="8220" max="8448" width="16.5703125" style="535"/>
    <col min="8449" max="8449" width="3.7109375" style="535" customWidth="1"/>
    <col min="8450" max="8450" width="20.7109375" style="535" bestFit="1" customWidth="1"/>
    <col min="8451" max="8451" width="27.5703125" style="535" bestFit="1" customWidth="1"/>
    <col min="8452" max="8452" width="13" style="535" bestFit="1" customWidth="1"/>
    <col min="8453" max="8453" width="12.85546875" style="535" customWidth="1"/>
    <col min="8454" max="8454" width="15" style="535" bestFit="1" customWidth="1"/>
    <col min="8455" max="8455" width="15.28515625" style="535" bestFit="1" customWidth="1"/>
    <col min="8456" max="8456" width="13.85546875" style="535" bestFit="1" customWidth="1"/>
    <col min="8457" max="8459" width="7.7109375" style="535" customWidth="1"/>
    <col min="8460" max="8460" width="8.85546875" style="535" customWidth="1"/>
    <col min="8461" max="8464" width="7.7109375" style="535" customWidth="1"/>
    <col min="8465" max="8465" width="8.85546875" style="535" customWidth="1"/>
    <col min="8466" max="8468" width="7.7109375" style="535" customWidth="1"/>
    <col min="8469" max="8469" width="9.5703125" style="535" customWidth="1"/>
    <col min="8470" max="8470" width="8.85546875" style="535" customWidth="1"/>
    <col min="8471" max="8474" width="7.7109375" style="535" customWidth="1"/>
    <col min="8475" max="8475" width="9" style="535" bestFit="1" customWidth="1"/>
    <col min="8476" max="8704" width="16.5703125" style="535"/>
    <col min="8705" max="8705" width="3.7109375" style="535" customWidth="1"/>
    <col min="8706" max="8706" width="20.7109375" style="535" bestFit="1" customWidth="1"/>
    <col min="8707" max="8707" width="27.5703125" style="535" bestFit="1" customWidth="1"/>
    <col min="8708" max="8708" width="13" style="535" bestFit="1" customWidth="1"/>
    <col min="8709" max="8709" width="12.85546875" style="535" customWidth="1"/>
    <col min="8710" max="8710" width="15" style="535" bestFit="1" customWidth="1"/>
    <col min="8711" max="8711" width="15.28515625" style="535" bestFit="1" customWidth="1"/>
    <col min="8712" max="8712" width="13.85546875" style="535" bestFit="1" customWidth="1"/>
    <col min="8713" max="8715" width="7.7109375" style="535" customWidth="1"/>
    <col min="8716" max="8716" width="8.85546875" style="535" customWidth="1"/>
    <col min="8717" max="8720" width="7.7109375" style="535" customWidth="1"/>
    <col min="8721" max="8721" width="8.85546875" style="535" customWidth="1"/>
    <col min="8722" max="8724" width="7.7109375" style="535" customWidth="1"/>
    <col min="8725" max="8725" width="9.5703125" style="535" customWidth="1"/>
    <col min="8726" max="8726" width="8.85546875" style="535" customWidth="1"/>
    <col min="8727" max="8730" width="7.7109375" style="535" customWidth="1"/>
    <col min="8731" max="8731" width="9" style="535" bestFit="1" customWidth="1"/>
    <col min="8732" max="8960" width="16.5703125" style="535"/>
    <col min="8961" max="8961" width="3.7109375" style="535" customWidth="1"/>
    <col min="8962" max="8962" width="20.7109375" style="535" bestFit="1" customWidth="1"/>
    <col min="8963" max="8963" width="27.5703125" style="535" bestFit="1" customWidth="1"/>
    <col min="8964" max="8964" width="13" style="535" bestFit="1" customWidth="1"/>
    <col min="8965" max="8965" width="12.85546875" style="535" customWidth="1"/>
    <col min="8966" max="8966" width="15" style="535" bestFit="1" customWidth="1"/>
    <col min="8967" max="8967" width="15.28515625" style="535" bestFit="1" customWidth="1"/>
    <col min="8968" max="8968" width="13.85546875" style="535" bestFit="1" customWidth="1"/>
    <col min="8969" max="8971" width="7.7109375" style="535" customWidth="1"/>
    <col min="8972" max="8972" width="8.85546875" style="535" customWidth="1"/>
    <col min="8973" max="8976" width="7.7109375" style="535" customWidth="1"/>
    <col min="8977" max="8977" width="8.85546875" style="535" customWidth="1"/>
    <col min="8978" max="8980" width="7.7109375" style="535" customWidth="1"/>
    <col min="8981" max="8981" width="9.5703125" style="535" customWidth="1"/>
    <col min="8982" max="8982" width="8.85546875" style="535" customWidth="1"/>
    <col min="8983" max="8986" width="7.7109375" style="535" customWidth="1"/>
    <col min="8987" max="8987" width="9" style="535" bestFit="1" customWidth="1"/>
    <col min="8988" max="9216" width="16.5703125" style="535"/>
    <col min="9217" max="9217" width="3.7109375" style="535" customWidth="1"/>
    <col min="9218" max="9218" width="20.7109375" style="535" bestFit="1" customWidth="1"/>
    <col min="9219" max="9219" width="27.5703125" style="535" bestFit="1" customWidth="1"/>
    <col min="9220" max="9220" width="13" style="535" bestFit="1" customWidth="1"/>
    <col min="9221" max="9221" width="12.85546875" style="535" customWidth="1"/>
    <col min="9222" max="9222" width="15" style="535" bestFit="1" customWidth="1"/>
    <col min="9223" max="9223" width="15.28515625" style="535" bestFit="1" customWidth="1"/>
    <col min="9224" max="9224" width="13.85546875" style="535" bestFit="1" customWidth="1"/>
    <col min="9225" max="9227" width="7.7109375" style="535" customWidth="1"/>
    <col min="9228" max="9228" width="8.85546875" style="535" customWidth="1"/>
    <col min="9229" max="9232" width="7.7109375" style="535" customWidth="1"/>
    <col min="9233" max="9233" width="8.85546875" style="535" customWidth="1"/>
    <col min="9234" max="9236" width="7.7109375" style="535" customWidth="1"/>
    <col min="9237" max="9237" width="9.5703125" style="535" customWidth="1"/>
    <col min="9238" max="9238" width="8.85546875" style="535" customWidth="1"/>
    <col min="9239" max="9242" width="7.7109375" style="535" customWidth="1"/>
    <col min="9243" max="9243" width="9" style="535" bestFit="1" customWidth="1"/>
    <col min="9244" max="9472" width="16.5703125" style="535"/>
    <col min="9473" max="9473" width="3.7109375" style="535" customWidth="1"/>
    <col min="9474" max="9474" width="20.7109375" style="535" bestFit="1" customWidth="1"/>
    <col min="9475" max="9475" width="27.5703125" style="535" bestFit="1" customWidth="1"/>
    <col min="9476" max="9476" width="13" style="535" bestFit="1" customWidth="1"/>
    <col min="9477" max="9477" width="12.85546875" style="535" customWidth="1"/>
    <col min="9478" max="9478" width="15" style="535" bestFit="1" customWidth="1"/>
    <col min="9479" max="9479" width="15.28515625" style="535" bestFit="1" customWidth="1"/>
    <col min="9480" max="9480" width="13.85546875" style="535" bestFit="1" customWidth="1"/>
    <col min="9481" max="9483" width="7.7109375" style="535" customWidth="1"/>
    <col min="9484" max="9484" width="8.85546875" style="535" customWidth="1"/>
    <col min="9485" max="9488" width="7.7109375" style="535" customWidth="1"/>
    <col min="9489" max="9489" width="8.85546875" style="535" customWidth="1"/>
    <col min="9490" max="9492" width="7.7109375" style="535" customWidth="1"/>
    <col min="9493" max="9493" width="9.5703125" style="535" customWidth="1"/>
    <col min="9494" max="9494" width="8.85546875" style="535" customWidth="1"/>
    <col min="9495" max="9498" width="7.7109375" style="535" customWidth="1"/>
    <col min="9499" max="9499" width="9" style="535" bestFit="1" customWidth="1"/>
    <col min="9500" max="9728" width="16.5703125" style="535"/>
    <col min="9729" max="9729" width="3.7109375" style="535" customWidth="1"/>
    <col min="9730" max="9730" width="20.7109375" style="535" bestFit="1" customWidth="1"/>
    <col min="9731" max="9731" width="27.5703125" style="535" bestFit="1" customWidth="1"/>
    <col min="9732" max="9732" width="13" style="535" bestFit="1" customWidth="1"/>
    <col min="9733" max="9733" width="12.85546875" style="535" customWidth="1"/>
    <col min="9734" max="9734" width="15" style="535" bestFit="1" customWidth="1"/>
    <col min="9735" max="9735" width="15.28515625" style="535" bestFit="1" customWidth="1"/>
    <col min="9736" max="9736" width="13.85546875" style="535" bestFit="1" customWidth="1"/>
    <col min="9737" max="9739" width="7.7109375" style="535" customWidth="1"/>
    <col min="9740" max="9740" width="8.85546875" style="535" customWidth="1"/>
    <col min="9741" max="9744" width="7.7109375" style="535" customWidth="1"/>
    <col min="9745" max="9745" width="8.85546875" style="535" customWidth="1"/>
    <col min="9746" max="9748" width="7.7109375" style="535" customWidth="1"/>
    <col min="9749" max="9749" width="9.5703125" style="535" customWidth="1"/>
    <col min="9750" max="9750" width="8.85546875" style="535" customWidth="1"/>
    <col min="9751" max="9754" width="7.7109375" style="535" customWidth="1"/>
    <col min="9755" max="9755" width="9" style="535" bestFit="1" customWidth="1"/>
    <col min="9756" max="9984" width="16.5703125" style="535"/>
    <col min="9985" max="9985" width="3.7109375" style="535" customWidth="1"/>
    <col min="9986" max="9986" width="20.7109375" style="535" bestFit="1" customWidth="1"/>
    <col min="9987" max="9987" width="27.5703125" style="535" bestFit="1" customWidth="1"/>
    <col min="9988" max="9988" width="13" style="535" bestFit="1" customWidth="1"/>
    <col min="9989" max="9989" width="12.85546875" style="535" customWidth="1"/>
    <col min="9990" max="9990" width="15" style="535" bestFit="1" customWidth="1"/>
    <col min="9991" max="9991" width="15.28515625" style="535" bestFit="1" customWidth="1"/>
    <col min="9992" max="9992" width="13.85546875" style="535" bestFit="1" customWidth="1"/>
    <col min="9993" max="9995" width="7.7109375" style="535" customWidth="1"/>
    <col min="9996" max="9996" width="8.85546875" style="535" customWidth="1"/>
    <col min="9997" max="10000" width="7.7109375" style="535" customWidth="1"/>
    <col min="10001" max="10001" width="8.85546875" style="535" customWidth="1"/>
    <col min="10002" max="10004" width="7.7109375" style="535" customWidth="1"/>
    <col min="10005" max="10005" width="9.5703125" style="535" customWidth="1"/>
    <col min="10006" max="10006" width="8.85546875" style="535" customWidth="1"/>
    <col min="10007" max="10010" width="7.7109375" style="535" customWidth="1"/>
    <col min="10011" max="10011" width="9" style="535" bestFit="1" customWidth="1"/>
    <col min="10012" max="10240" width="16.5703125" style="535"/>
    <col min="10241" max="10241" width="3.7109375" style="535" customWidth="1"/>
    <col min="10242" max="10242" width="20.7109375" style="535" bestFit="1" customWidth="1"/>
    <col min="10243" max="10243" width="27.5703125" style="535" bestFit="1" customWidth="1"/>
    <col min="10244" max="10244" width="13" style="535" bestFit="1" customWidth="1"/>
    <col min="10245" max="10245" width="12.85546875" style="535" customWidth="1"/>
    <col min="10246" max="10246" width="15" style="535" bestFit="1" customWidth="1"/>
    <col min="10247" max="10247" width="15.28515625" style="535" bestFit="1" customWidth="1"/>
    <col min="10248" max="10248" width="13.85546875" style="535" bestFit="1" customWidth="1"/>
    <col min="10249" max="10251" width="7.7109375" style="535" customWidth="1"/>
    <col min="10252" max="10252" width="8.85546875" style="535" customWidth="1"/>
    <col min="10253" max="10256" width="7.7109375" style="535" customWidth="1"/>
    <col min="10257" max="10257" width="8.85546875" style="535" customWidth="1"/>
    <col min="10258" max="10260" width="7.7109375" style="535" customWidth="1"/>
    <col min="10261" max="10261" width="9.5703125" style="535" customWidth="1"/>
    <col min="10262" max="10262" width="8.85546875" style="535" customWidth="1"/>
    <col min="10263" max="10266" width="7.7109375" style="535" customWidth="1"/>
    <col min="10267" max="10267" width="9" style="535" bestFit="1" customWidth="1"/>
    <col min="10268" max="10496" width="16.5703125" style="535"/>
    <col min="10497" max="10497" width="3.7109375" style="535" customWidth="1"/>
    <col min="10498" max="10498" width="20.7109375" style="535" bestFit="1" customWidth="1"/>
    <col min="10499" max="10499" width="27.5703125" style="535" bestFit="1" customWidth="1"/>
    <col min="10500" max="10500" width="13" style="535" bestFit="1" customWidth="1"/>
    <col min="10501" max="10501" width="12.85546875" style="535" customWidth="1"/>
    <col min="10502" max="10502" width="15" style="535" bestFit="1" customWidth="1"/>
    <col min="10503" max="10503" width="15.28515625" style="535" bestFit="1" customWidth="1"/>
    <col min="10504" max="10504" width="13.85546875" style="535" bestFit="1" customWidth="1"/>
    <col min="10505" max="10507" width="7.7109375" style="535" customWidth="1"/>
    <col min="10508" max="10508" width="8.85546875" style="535" customWidth="1"/>
    <col min="10509" max="10512" width="7.7109375" style="535" customWidth="1"/>
    <col min="10513" max="10513" width="8.85546875" style="535" customWidth="1"/>
    <col min="10514" max="10516" width="7.7109375" style="535" customWidth="1"/>
    <col min="10517" max="10517" width="9.5703125" style="535" customWidth="1"/>
    <col min="10518" max="10518" width="8.85546875" style="535" customWidth="1"/>
    <col min="10519" max="10522" width="7.7109375" style="535" customWidth="1"/>
    <col min="10523" max="10523" width="9" style="535" bestFit="1" customWidth="1"/>
    <col min="10524" max="10752" width="16.5703125" style="535"/>
    <col min="10753" max="10753" width="3.7109375" style="535" customWidth="1"/>
    <col min="10754" max="10754" width="20.7109375" style="535" bestFit="1" customWidth="1"/>
    <col min="10755" max="10755" width="27.5703125" style="535" bestFit="1" customWidth="1"/>
    <col min="10756" max="10756" width="13" style="535" bestFit="1" customWidth="1"/>
    <col min="10757" max="10757" width="12.85546875" style="535" customWidth="1"/>
    <col min="10758" max="10758" width="15" style="535" bestFit="1" customWidth="1"/>
    <col min="10759" max="10759" width="15.28515625" style="535" bestFit="1" customWidth="1"/>
    <col min="10760" max="10760" width="13.85546875" style="535" bestFit="1" customWidth="1"/>
    <col min="10761" max="10763" width="7.7109375" style="535" customWidth="1"/>
    <col min="10764" max="10764" width="8.85546875" style="535" customWidth="1"/>
    <col min="10765" max="10768" width="7.7109375" style="535" customWidth="1"/>
    <col min="10769" max="10769" width="8.85546875" style="535" customWidth="1"/>
    <col min="10770" max="10772" width="7.7109375" style="535" customWidth="1"/>
    <col min="10773" max="10773" width="9.5703125" style="535" customWidth="1"/>
    <col min="10774" max="10774" width="8.85546875" style="535" customWidth="1"/>
    <col min="10775" max="10778" width="7.7109375" style="535" customWidth="1"/>
    <col min="10779" max="10779" width="9" style="535" bestFit="1" customWidth="1"/>
    <col min="10780" max="11008" width="16.5703125" style="535"/>
    <col min="11009" max="11009" width="3.7109375" style="535" customWidth="1"/>
    <col min="11010" max="11010" width="20.7109375" style="535" bestFit="1" customWidth="1"/>
    <col min="11011" max="11011" width="27.5703125" style="535" bestFit="1" customWidth="1"/>
    <col min="11012" max="11012" width="13" style="535" bestFit="1" customWidth="1"/>
    <col min="11013" max="11013" width="12.85546875" style="535" customWidth="1"/>
    <col min="11014" max="11014" width="15" style="535" bestFit="1" customWidth="1"/>
    <col min="11015" max="11015" width="15.28515625" style="535" bestFit="1" customWidth="1"/>
    <col min="11016" max="11016" width="13.85546875" style="535" bestFit="1" customWidth="1"/>
    <col min="11017" max="11019" width="7.7109375" style="535" customWidth="1"/>
    <col min="11020" max="11020" width="8.85546875" style="535" customWidth="1"/>
    <col min="11021" max="11024" width="7.7109375" style="535" customWidth="1"/>
    <col min="11025" max="11025" width="8.85546875" style="535" customWidth="1"/>
    <col min="11026" max="11028" width="7.7109375" style="535" customWidth="1"/>
    <col min="11029" max="11029" width="9.5703125" style="535" customWidth="1"/>
    <col min="11030" max="11030" width="8.85546875" style="535" customWidth="1"/>
    <col min="11031" max="11034" width="7.7109375" style="535" customWidth="1"/>
    <col min="11035" max="11035" width="9" style="535" bestFit="1" customWidth="1"/>
    <col min="11036" max="11264" width="16.5703125" style="535"/>
    <col min="11265" max="11265" width="3.7109375" style="535" customWidth="1"/>
    <col min="11266" max="11266" width="20.7109375" style="535" bestFit="1" customWidth="1"/>
    <col min="11267" max="11267" width="27.5703125" style="535" bestFit="1" customWidth="1"/>
    <col min="11268" max="11268" width="13" style="535" bestFit="1" customWidth="1"/>
    <col min="11269" max="11269" width="12.85546875" style="535" customWidth="1"/>
    <col min="11270" max="11270" width="15" style="535" bestFit="1" customWidth="1"/>
    <col min="11271" max="11271" width="15.28515625" style="535" bestFit="1" customWidth="1"/>
    <col min="11272" max="11272" width="13.85546875" style="535" bestFit="1" customWidth="1"/>
    <col min="11273" max="11275" width="7.7109375" style="535" customWidth="1"/>
    <col min="11276" max="11276" width="8.85546875" style="535" customWidth="1"/>
    <col min="11277" max="11280" width="7.7109375" style="535" customWidth="1"/>
    <col min="11281" max="11281" width="8.85546875" style="535" customWidth="1"/>
    <col min="11282" max="11284" width="7.7109375" style="535" customWidth="1"/>
    <col min="11285" max="11285" width="9.5703125" style="535" customWidth="1"/>
    <col min="11286" max="11286" width="8.85546875" style="535" customWidth="1"/>
    <col min="11287" max="11290" width="7.7109375" style="535" customWidth="1"/>
    <col min="11291" max="11291" width="9" style="535" bestFit="1" customWidth="1"/>
    <col min="11292" max="11520" width="16.5703125" style="535"/>
    <col min="11521" max="11521" width="3.7109375" style="535" customWidth="1"/>
    <col min="11522" max="11522" width="20.7109375" style="535" bestFit="1" customWidth="1"/>
    <col min="11523" max="11523" width="27.5703125" style="535" bestFit="1" customWidth="1"/>
    <col min="11524" max="11524" width="13" style="535" bestFit="1" customWidth="1"/>
    <col min="11525" max="11525" width="12.85546875" style="535" customWidth="1"/>
    <col min="11526" max="11526" width="15" style="535" bestFit="1" customWidth="1"/>
    <col min="11527" max="11527" width="15.28515625" style="535" bestFit="1" customWidth="1"/>
    <col min="11528" max="11528" width="13.85546875" style="535" bestFit="1" customWidth="1"/>
    <col min="11529" max="11531" width="7.7109375" style="535" customWidth="1"/>
    <col min="11532" max="11532" width="8.85546875" style="535" customWidth="1"/>
    <col min="11533" max="11536" width="7.7109375" style="535" customWidth="1"/>
    <col min="11537" max="11537" width="8.85546875" style="535" customWidth="1"/>
    <col min="11538" max="11540" width="7.7109375" style="535" customWidth="1"/>
    <col min="11541" max="11541" width="9.5703125" style="535" customWidth="1"/>
    <col min="11542" max="11542" width="8.85546875" style="535" customWidth="1"/>
    <col min="11543" max="11546" width="7.7109375" style="535" customWidth="1"/>
    <col min="11547" max="11547" width="9" style="535" bestFit="1" customWidth="1"/>
    <col min="11548" max="11776" width="16.5703125" style="535"/>
    <col min="11777" max="11777" width="3.7109375" style="535" customWidth="1"/>
    <col min="11778" max="11778" width="20.7109375" style="535" bestFit="1" customWidth="1"/>
    <col min="11779" max="11779" width="27.5703125" style="535" bestFit="1" customWidth="1"/>
    <col min="11780" max="11780" width="13" style="535" bestFit="1" customWidth="1"/>
    <col min="11781" max="11781" width="12.85546875" style="535" customWidth="1"/>
    <col min="11782" max="11782" width="15" style="535" bestFit="1" customWidth="1"/>
    <col min="11783" max="11783" width="15.28515625" style="535" bestFit="1" customWidth="1"/>
    <col min="11784" max="11784" width="13.85546875" style="535" bestFit="1" customWidth="1"/>
    <col min="11785" max="11787" width="7.7109375" style="535" customWidth="1"/>
    <col min="11788" max="11788" width="8.85546875" style="535" customWidth="1"/>
    <col min="11789" max="11792" width="7.7109375" style="535" customWidth="1"/>
    <col min="11793" max="11793" width="8.85546875" style="535" customWidth="1"/>
    <col min="11794" max="11796" width="7.7109375" style="535" customWidth="1"/>
    <col min="11797" max="11797" width="9.5703125" style="535" customWidth="1"/>
    <col min="11798" max="11798" width="8.85546875" style="535" customWidth="1"/>
    <col min="11799" max="11802" width="7.7109375" style="535" customWidth="1"/>
    <col min="11803" max="11803" width="9" style="535" bestFit="1" customWidth="1"/>
    <col min="11804" max="12032" width="16.5703125" style="535"/>
    <col min="12033" max="12033" width="3.7109375" style="535" customWidth="1"/>
    <col min="12034" max="12034" width="20.7109375" style="535" bestFit="1" customWidth="1"/>
    <col min="12035" max="12035" width="27.5703125" style="535" bestFit="1" customWidth="1"/>
    <col min="12036" max="12036" width="13" style="535" bestFit="1" customWidth="1"/>
    <col min="12037" max="12037" width="12.85546875" style="535" customWidth="1"/>
    <col min="12038" max="12038" width="15" style="535" bestFit="1" customWidth="1"/>
    <col min="12039" max="12039" width="15.28515625" style="535" bestFit="1" customWidth="1"/>
    <col min="12040" max="12040" width="13.85546875" style="535" bestFit="1" customWidth="1"/>
    <col min="12041" max="12043" width="7.7109375" style="535" customWidth="1"/>
    <col min="12044" max="12044" width="8.85546875" style="535" customWidth="1"/>
    <col min="12045" max="12048" width="7.7109375" style="535" customWidth="1"/>
    <col min="12049" max="12049" width="8.85546875" style="535" customWidth="1"/>
    <col min="12050" max="12052" width="7.7109375" style="535" customWidth="1"/>
    <col min="12053" max="12053" width="9.5703125" style="535" customWidth="1"/>
    <col min="12054" max="12054" width="8.85546875" style="535" customWidth="1"/>
    <col min="12055" max="12058" width="7.7109375" style="535" customWidth="1"/>
    <col min="12059" max="12059" width="9" style="535" bestFit="1" customWidth="1"/>
    <col min="12060" max="12288" width="16.5703125" style="535"/>
    <col min="12289" max="12289" width="3.7109375" style="535" customWidth="1"/>
    <col min="12290" max="12290" width="20.7109375" style="535" bestFit="1" customWidth="1"/>
    <col min="12291" max="12291" width="27.5703125" style="535" bestFit="1" customWidth="1"/>
    <col min="12292" max="12292" width="13" style="535" bestFit="1" customWidth="1"/>
    <col min="12293" max="12293" width="12.85546875" style="535" customWidth="1"/>
    <col min="12294" max="12294" width="15" style="535" bestFit="1" customWidth="1"/>
    <col min="12295" max="12295" width="15.28515625" style="535" bestFit="1" customWidth="1"/>
    <col min="12296" max="12296" width="13.85546875" style="535" bestFit="1" customWidth="1"/>
    <col min="12297" max="12299" width="7.7109375" style="535" customWidth="1"/>
    <col min="12300" max="12300" width="8.85546875" style="535" customWidth="1"/>
    <col min="12301" max="12304" width="7.7109375" style="535" customWidth="1"/>
    <col min="12305" max="12305" width="8.85546875" style="535" customWidth="1"/>
    <col min="12306" max="12308" width="7.7109375" style="535" customWidth="1"/>
    <col min="12309" max="12309" width="9.5703125" style="535" customWidth="1"/>
    <col min="12310" max="12310" width="8.85546875" style="535" customWidth="1"/>
    <col min="12311" max="12314" width="7.7109375" style="535" customWidth="1"/>
    <col min="12315" max="12315" width="9" style="535" bestFit="1" customWidth="1"/>
    <col min="12316" max="12544" width="16.5703125" style="535"/>
    <col min="12545" max="12545" width="3.7109375" style="535" customWidth="1"/>
    <col min="12546" max="12546" width="20.7109375" style="535" bestFit="1" customWidth="1"/>
    <col min="12547" max="12547" width="27.5703125" style="535" bestFit="1" customWidth="1"/>
    <col min="12548" max="12548" width="13" style="535" bestFit="1" customWidth="1"/>
    <col min="12549" max="12549" width="12.85546875" style="535" customWidth="1"/>
    <col min="12550" max="12550" width="15" style="535" bestFit="1" customWidth="1"/>
    <col min="12551" max="12551" width="15.28515625" style="535" bestFit="1" customWidth="1"/>
    <col min="12552" max="12552" width="13.85546875" style="535" bestFit="1" customWidth="1"/>
    <col min="12553" max="12555" width="7.7109375" style="535" customWidth="1"/>
    <col min="12556" max="12556" width="8.85546875" style="535" customWidth="1"/>
    <col min="12557" max="12560" width="7.7109375" style="535" customWidth="1"/>
    <col min="12561" max="12561" width="8.85546875" style="535" customWidth="1"/>
    <col min="12562" max="12564" width="7.7109375" style="535" customWidth="1"/>
    <col min="12565" max="12565" width="9.5703125" style="535" customWidth="1"/>
    <col min="12566" max="12566" width="8.85546875" style="535" customWidth="1"/>
    <col min="12567" max="12570" width="7.7109375" style="535" customWidth="1"/>
    <col min="12571" max="12571" width="9" style="535" bestFit="1" customWidth="1"/>
    <col min="12572" max="12800" width="16.5703125" style="535"/>
    <col min="12801" max="12801" width="3.7109375" style="535" customWidth="1"/>
    <col min="12802" max="12802" width="20.7109375" style="535" bestFit="1" customWidth="1"/>
    <col min="12803" max="12803" width="27.5703125" style="535" bestFit="1" customWidth="1"/>
    <col min="12804" max="12804" width="13" style="535" bestFit="1" customWidth="1"/>
    <col min="12805" max="12805" width="12.85546875" style="535" customWidth="1"/>
    <col min="12806" max="12806" width="15" style="535" bestFit="1" customWidth="1"/>
    <col min="12807" max="12807" width="15.28515625" style="535" bestFit="1" customWidth="1"/>
    <col min="12808" max="12808" width="13.85546875" style="535" bestFit="1" customWidth="1"/>
    <col min="12809" max="12811" width="7.7109375" style="535" customWidth="1"/>
    <col min="12812" max="12812" width="8.85546875" style="535" customWidth="1"/>
    <col min="12813" max="12816" width="7.7109375" style="535" customWidth="1"/>
    <col min="12817" max="12817" width="8.85546875" style="535" customWidth="1"/>
    <col min="12818" max="12820" width="7.7109375" style="535" customWidth="1"/>
    <col min="12821" max="12821" width="9.5703125" style="535" customWidth="1"/>
    <col min="12822" max="12822" width="8.85546875" style="535" customWidth="1"/>
    <col min="12823" max="12826" width="7.7109375" style="535" customWidth="1"/>
    <col min="12827" max="12827" width="9" style="535" bestFit="1" customWidth="1"/>
    <col min="12828" max="13056" width="16.5703125" style="535"/>
    <col min="13057" max="13057" width="3.7109375" style="535" customWidth="1"/>
    <col min="13058" max="13058" width="20.7109375" style="535" bestFit="1" customWidth="1"/>
    <col min="13059" max="13059" width="27.5703125" style="535" bestFit="1" customWidth="1"/>
    <col min="13060" max="13060" width="13" style="535" bestFit="1" customWidth="1"/>
    <col min="13061" max="13061" width="12.85546875" style="535" customWidth="1"/>
    <col min="13062" max="13062" width="15" style="535" bestFit="1" customWidth="1"/>
    <col min="13063" max="13063" width="15.28515625" style="535" bestFit="1" customWidth="1"/>
    <col min="13064" max="13064" width="13.85546875" style="535" bestFit="1" customWidth="1"/>
    <col min="13065" max="13067" width="7.7109375" style="535" customWidth="1"/>
    <col min="13068" max="13068" width="8.85546875" style="535" customWidth="1"/>
    <col min="13069" max="13072" width="7.7109375" style="535" customWidth="1"/>
    <col min="13073" max="13073" width="8.85546875" style="535" customWidth="1"/>
    <col min="13074" max="13076" width="7.7109375" style="535" customWidth="1"/>
    <col min="13077" max="13077" width="9.5703125" style="535" customWidth="1"/>
    <col min="13078" max="13078" width="8.85546875" style="535" customWidth="1"/>
    <col min="13079" max="13082" width="7.7109375" style="535" customWidth="1"/>
    <col min="13083" max="13083" width="9" style="535" bestFit="1" customWidth="1"/>
    <col min="13084" max="13312" width="16.5703125" style="535"/>
    <col min="13313" max="13313" width="3.7109375" style="535" customWidth="1"/>
    <col min="13314" max="13314" width="20.7109375" style="535" bestFit="1" customWidth="1"/>
    <col min="13315" max="13315" width="27.5703125" style="535" bestFit="1" customWidth="1"/>
    <col min="13316" max="13316" width="13" style="535" bestFit="1" customWidth="1"/>
    <col min="13317" max="13317" width="12.85546875" style="535" customWidth="1"/>
    <col min="13318" max="13318" width="15" style="535" bestFit="1" customWidth="1"/>
    <col min="13319" max="13319" width="15.28515625" style="535" bestFit="1" customWidth="1"/>
    <col min="13320" max="13320" width="13.85546875" style="535" bestFit="1" customWidth="1"/>
    <col min="13321" max="13323" width="7.7109375" style="535" customWidth="1"/>
    <col min="13324" max="13324" width="8.85546875" style="535" customWidth="1"/>
    <col min="13325" max="13328" width="7.7109375" style="535" customWidth="1"/>
    <col min="13329" max="13329" width="8.85546875" style="535" customWidth="1"/>
    <col min="13330" max="13332" width="7.7109375" style="535" customWidth="1"/>
    <col min="13333" max="13333" width="9.5703125" style="535" customWidth="1"/>
    <col min="13334" max="13334" width="8.85546875" style="535" customWidth="1"/>
    <col min="13335" max="13338" width="7.7109375" style="535" customWidth="1"/>
    <col min="13339" max="13339" width="9" style="535" bestFit="1" customWidth="1"/>
    <col min="13340" max="13568" width="16.5703125" style="535"/>
    <col min="13569" max="13569" width="3.7109375" style="535" customWidth="1"/>
    <col min="13570" max="13570" width="20.7109375" style="535" bestFit="1" customWidth="1"/>
    <col min="13571" max="13571" width="27.5703125" style="535" bestFit="1" customWidth="1"/>
    <col min="13572" max="13572" width="13" style="535" bestFit="1" customWidth="1"/>
    <col min="13573" max="13573" width="12.85546875" style="535" customWidth="1"/>
    <col min="13574" max="13574" width="15" style="535" bestFit="1" customWidth="1"/>
    <col min="13575" max="13575" width="15.28515625" style="535" bestFit="1" customWidth="1"/>
    <col min="13576" max="13576" width="13.85546875" style="535" bestFit="1" customWidth="1"/>
    <col min="13577" max="13579" width="7.7109375" style="535" customWidth="1"/>
    <col min="13580" max="13580" width="8.85546875" style="535" customWidth="1"/>
    <col min="13581" max="13584" width="7.7109375" style="535" customWidth="1"/>
    <col min="13585" max="13585" width="8.85546875" style="535" customWidth="1"/>
    <col min="13586" max="13588" width="7.7109375" style="535" customWidth="1"/>
    <col min="13589" max="13589" width="9.5703125" style="535" customWidth="1"/>
    <col min="13590" max="13590" width="8.85546875" style="535" customWidth="1"/>
    <col min="13591" max="13594" width="7.7109375" style="535" customWidth="1"/>
    <col min="13595" max="13595" width="9" style="535" bestFit="1" customWidth="1"/>
    <col min="13596" max="13824" width="16.5703125" style="535"/>
    <col min="13825" max="13825" width="3.7109375" style="535" customWidth="1"/>
    <col min="13826" max="13826" width="20.7109375" style="535" bestFit="1" customWidth="1"/>
    <col min="13827" max="13827" width="27.5703125" style="535" bestFit="1" customWidth="1"/>
    <col min="13828" max="13828" width="13" style="535" bestFit="1" customWidth="1"/>
    <col min="13829" max="13829" width="12.85546875" style="535" customWidth="1"/>
    <col min="13830" max="13830" width="15" style="535" bestFit="1" customWidth="1"/>
    <col min="13831" max="13831" width="15.28515625" style="535" bestFit="1" customWidth="1"/>
    <col min="13832" max="13832" width="13.85546875" style="535" bestFit="1" customWidth="1"/>
    <col min="13833" max="13835" width="7.7109375" style="535" customWidth="1"/>
    <col min="13836" max="13836" width="8.85546875" style="535" customWidth="1"/>
    <col min="13837" max="13840" width="7.7109375" style="535" customWidth="1"/>
    <col min="13841" max="13841" width="8.85546875" style="535" customWidth="1"/>
    <col min="13842" max="13844" width="7.7109375" style="535" customWidth="1"/>
    <col min="13845" max="13845" width="9.5703125" style="535" customWidth="1"/>
    <col min="13846" max="13846" width="8.85546875" style="535" customWidth="1"/>
    <col min="13847" max="13850" width="7.7109375" style="535" customWidth="1"/>
    <col min="13851" max="13851" width="9" style="535" bestFit="1" customWidth="1"/>
    <col min="13852" max="14080" width="16.5703125" style="535"/>
    <col min="14081" max="14081" width="3.7109375" style="535" customWidth="1"/>
    <col min="14082" max="14082" width="20.7109375" style="535" bestFit="1" customWidth="1"/>
    <col min="14083" max="14083" width="27.5703125" style="535" bestFit="1" customWidth="1"/>
    <col min="14084" max="14084" width="13" style="535" bestFit="1" customWidth="1"/>
    <col min="14085" max="14085" width="12.85546875" style="535" customWidth="1"/>
    <col min="14086" max="14086" width="15" style="535" bestFit="1" customWidth="1"/>
    <col min="14087" max="14087" width="15.28515625" style="535" bestFit="1" customWidth="1"/>
    <col min="14088" max="14088" width="13.85546875" style="535" bestFit="1" customWidth="1"/>
    <col min="14089" max="14091" width="7.7109375" style="535" customWidth="1"/>
    <col min="14092" max="14092" width="8.85546875" style="535" customWidth="1"/>
    <col min="14093" max="14096" width="7.7109375" style="535" customWidth="1"/>
    <col min="14097" max="14097" width="8.85546875" style="535" customWidth="1"/>
    <col min="14098" max="14100" width="7.7109375" style="535" customWidth="1"/>
    <col min="14101" max="14101" width="9.5703125" style="535" customWidth="1"/>
    <col min="14102" max="14102" width="8.85546875" style="535" customWidth="1"/>
    <col min="14103" max="14106" width="7.7109375" style="535" customWidth="1"/>
    <col min="14107" max="14107" width="9" style="535" bestFit="1" customWidth="1"/>
    <col min="14108" max="14336" width="16.5703125" style="535"/>
    <col min="14337" max="14337" width="3.7109375" style="535" customWidth="1"/>
    <col min="14338" max="14338" width="20.7109375" style="535" bestFit="1" customWidth="1"/>
    <col min="14339" max="14339" width="27.5703125" style="535" bestFit="1" customWidth="1"/>
    <col min="14340" max="14340" width="13" style="535" bestFit="1" customWidth="1"/>
    <col min="14341" max="14341" width="12.85546875" style="535" customWidth="1"/>
    <col min="14342" max="14342" width="15" style="535" bestFit="1" customWidth="1"/>
    <col min="14343" max="14343" width="15.28515625" style="535" bestFit="1" customWidth="1"/>
    <col min="14344" max="14344" width="13.85546875" style="535" bestFit="1" customWidth="1"/>
    <col min="14345" max="14347" width="7.7109375" style="535" customWidth="1"/>
    <col min="14348" max="14348" width="8.85546875" style="535" customWidth="1"/>
    <col min="14349" max="14352" width="7.7109375" style="535" customWidth="1"/>
    <col min="14353" max="14353" width="8.85546875" style="535" customWidth="1"/>
    <col min="14354" max="14356" width="7.7109375" style="535" customWidth="1"/>
    <col min="14357" max="14357" width="9.5703125" style="535" customWidth="1"/>
    <col min="14358" max="14358" width="8.85546875" style="535" customWidth="1"/>
    <col min="14359" max="14362" width="7.7109375" style="535" customWidth="1"/>
    <col min="14363" max="14363" width="9" style="535" bestFit="1" customWidth="1"/>
    <col min="14364" max="14592" width="16.5703125" style="535"/>
    <col min="14593" max="14593" width="3.7109375" style="535" customWidth="1"/>
    <col min="14594" max="14594" width="20.7109375" style="535" bestFit="1" customWidth="1"/>
    <col min="14595" max="14595" width="27.5703125" style="535" bestFit="1" customWidth="1"/>
    <col min="14596" max="14596" width="13" style="535" bestFit="1" customWidth="1"/>
    <col min="14597" max="14597" width="12.85546875" style="535" customWidth="1"/>
    <col min="14598" max="14598" width="15" style="535" bestFit="1" customWidth="1"/>
    <col min="14599" max="14599" width="15.28515625" style="535" bestFit="1" customWidth="1"/>
    <col min="14600" max="14600" width="13.85546875" style="535" bestFit="1" customWidth="1"/>
    <col min="14601" max="14603" width="7.7109375" style="535" customWidth="1"/>
    <col min="14604" max="14604" width="8.85546875" style="535" customWidth="1"/>
    <col min="14605" max="14608" width="7.7109375" style="535" customWidth="1"/>
    <col min="14609" max="14609" width="8.85546875" style="535" customWidth="1"/>
    <col min="14610" max="14612" width="7.7109375" style="535" customWidth="1"/>
    <col min="14613" max="14613" width="9.5703125" style="535" customWidth="1"/>
    <col min="14614" max="14614" width="8.85546875" style="535" customWidth="1"/>
    <col min="14615" max="14618" width="7.7109375" style="535" customWidth="1"/>
    <col min="14619" max="14619" width="9" style="535" bestFit="1" customWidth="1"/>
    <col min="14620" max="14848" width="16.5703125" style="535"/>
    <col min="14849" max="14849" width="3.7109375" style="535" customWidth="1"/>
    <col min="14850" max="14850" width="20.7109375" style="535" bestFit="1" customWidth="1"/>
    <col min="14851" max="14851" width="27.5703125" style="535" bestFit="1" customWidth="1"/>
    <col min="14852" max="14852" width="13" style="535" bestFit="1" customWidth="1"/>
    <col min="14853" max="14853" width="12.85546875" style="535" customWidth="1"/>
    <col min="14854" max="14854" width="15" style="535" bestFit="1" customWidth="1"/>
    <col min="14855" max="14855" width="15.28515625" style="535" bestFit="1" customWidth="1"/>
    <col min="14856" max="14856" width="13.85546875" style="535" bestFit="1" customWidth="1"/>
    <col min="14857" max="14859" width="7.7109375" style="535" customWidth="1"/>
    <col min="14860" max="14860" width="8.85546875" style="535" customWidth="1"/>
    <col min="14861" max="14864" width="7.7109375" style="535" customWidth="1"/>
    <col min="14865" max="14865" width="8.85546875" style="535" customWidth="1"/>
    <col min="14866" max="14868" width="7.7109375" style="535" customWidth="1"/>
    <col min="14869" max="14869" width="9.5703125" style="535" customWidth="1"/>
    <col min="14870" max="14870" width="8.85546875" style="535" customWidth="1"/>
    <col min="14871" max="14874" width="7.7109375" style="535" customWidth="1"/>
    <col min="14875" max="14875" width="9" style="535" bestFit="1" customWidth="1"/>
    <col min="14876" max="15104" width="16.5703125" style="535"/>
    <col min="15105" max="15105" width="3.7109375" style="535" customWidth="1"/>
    <col min="15106" max="15106" width="20.7109375" style="535" bestFit="1" customWidth="1"/>
    <col min="15107" max="15107" width="27.5703125" style="535" bestFit="1" customWidth="1"/>
    <col min="15108" max="15108" width="13" style="535" bestFit="1" customWidth="1"/>
    <col min="15109" max="15109" width="12.85546875" style="535" customWidth="1"/>
    <col min="15110" max="15110" width="15" style="535" bestFit="1" customWidth="1"/>
    <col min="15111" max="15111" width="15.28515625" style="535" bestFit="1" customWidth="1"/>
    <col min="15112" max="15112" width="13.85546875" style="535" bestFit="1" customWidth="1"/>
    <col min="15113" max="15115" width="7.7109375" style="535" customWidth="1"/>
    <col min="15116" max="15116" width="8.85546875" style="535" customWidth="1"/>
    <col min="15117" max="15120" width="7.7109375" style="535" customWidth="1"/>
    <col min="15121" max="15121" width="8.85546875" style="535" customWidth="1"/>
    <col min="15122" max="15124" width="7.7109375" style="535" customWidth="1"/>
    <col min="15125" max="15125" width="9.5703125" style="535" customWidth="1"/>
    <col min="15126" max="15126" width="8.85546875" style="535" customWidth="1"/>
    <col min="15127" max="15130" width="7.7109375" style="535" customWidth="1"/>
    <col min="15131" max="15131" width="9" style="535" bestFit="1" customWidth="1"/>
    <col min="15132" max="15360" width="16.5703125" style="535"/>
    <col min="15361" max="15361" width="3.7109375" style="535" customWidth="1"/>
    <col min="15362" max="15362" width="20.7109375" style="535" bestFit="1" customWidth="1"/>
    <col min="15363" max="15363" width="27.5703125" style="535" bestFit="1" customWidth="1"/>
    <col min="15364" max="15364" width="13" style="535" bestFit="1" customWidth="1"/>
    <col min="15365" max="15365" width="12.85546875" style="535" customWidth="1"/>
    <col min="15366" max="15366" width="15" style="535" bestFit="1" customWidth="1"/>
    <col min="15367" max="15367" width="15.28515625" style="535" bestFit="1" customWidth="1"/>
    <col min="15368" max="15368" width="13.85546875" style="535" bestFit="1" customWidth="1"/>
    <col min="15369" max="15371" width="7.7109375" style="535" customWidth="1"/>
    <col min="15372" max="15372" width="8.85546875" style="535" customWidth="1"/>
    <col min="15373" max="15376" width="7.7109375" style="535" customWidth="1"/>
    <col min="15377" max="15377" width="8.85546875" style="535" customWidth="1"/>
    <col min="15378" max="15380" width="7.7109375" style="535" customWidth="1"/>
    <col min="15381" max="15381" width="9.5703125" style="535" customWidth="1"/>
    <col min="15382" max="15382" width="8.85546875" style="535" customWidth="1"/>
    <col min="15383" max="15386" width="7.7109375" style="535" customWidth="1"/>
    <col min="15387" max="15387" width="9" style="535" bestFit="1" customWidth="1"/>
    <col min="15388" max="15616" width="16.5703125" style="535"/>
    <col min="15617" max="15617" width="3.7109375" style="535" customWidth="1"/>
    <col min="15618" max="15618" width="20.7109375" style="535" bestFit="1" customWidth="1"/>
    <col min="15619" max="15619" width="27.5703125" style="535" bestFit="1" customWidth="1"/>
    <col min="15620" max="15620" width="13" style="535" bestFit="1" customWidth="1"/>
    <col min="15621" max="15621" width="12.85546875" style="535" customWidth="1"/>
    <col min="15622" max="15622" width="15" style="535" bestFit="1" customWidth="1"/>
    <col min="15623" max="15623" width="15.28515625" style="535" bestFit="1" customWidth="1"/>
    <col min="15624" max="15624" width="13.85546875" style="535" bestFit="1" customWidth="1"/>
    <col min="15625" max="15627" width="7.7109375" style="535" customWidth="1"/>
    <col min="15628" max="15628" width="8.85546875" style="535" customWidth="1"/>
    <col min="15629" max="15632" width="7.7109375" style="535" customWidth="1"/>
    <col min="15633" max="15633" width="8.85546875" style="535" customWidth="1"/>
    <col min="15634" max="15636" width="7.7109375" style="535" customWidth="1"/>
    <col min="15637" max="15637" width="9.5703125" style="535" customWidth="1"/>
    <col min="15638" max="15638" width="8.85546875" style="535" customWidth="1"/>
    <col min="15639" max="15642" width="7.7109375" style="535" customWidth="1"/>
    <col min="15643" max="15643" width="9" style="535" bestFit="1" customWidth="1"/>
    <col min="15644" max="15872" width="16.5703125" style="535"/>
    <col min="15873" max="15873" width="3.7109375" style="535" customWidth="1"/>
    <col min="15874" max="15874" width="20.7109375" style="535" bestFit="1" customWidth="1"/>
    <col min="15875" max="15875" width="27.5703125" style="535" bestFit="1" customWidth="1"/>
    <col min="15876" max="15876" width="13" style="535" bestFit="1" customWidth="1"/>
    <col min="15877" max="15877" width="12.85546875" style="535" customWidth="1"/>
    <col min="15878" max="15878" width="15" style="535" bestFit="1" customWidth="1"/>
    <col min="15879" max="15879" width="15.28515625" style="535" bestFit="1" customWidth="1"/>
    <col min="15880" max="15880" width="13.85546875" style="535" bestFit="1" customWidth="1"/>
    <col min="15881" max="15883" width="7.7109375" style="535" customWidth="1"/>
    <col min="15884" max="15884" width="8.85546875" style="535" customWidth="1"/>
    <col min="15885" max="15888" width="7.7109375" style="535" customWidth="1"/>
    <col min="15889" max="15889" width="8.85546875" style="535" customWidth="1"/>
    <col min="15890" max="15892" width="7.7109375" style="535" customWidth="1"/>
    <col min="15893" max="15893" width="9.5703125" style="535" customWidth="1"/>
    <col min="15894" max="15894" width="8.85546875" style="535" customWidth="1"/>
    <col min="15895" max="15898" width="7.7109375" style="535" customWidth="1"/>
    <col min="15899" max="15899" width="9" style="535" bestFit="1" customWidth="1"/>
    <col min="15900" max="16128" width="16.5703125" style="535"/>
    <col min="16129" max="16129" width="3.7109375" style="535" customWidth="1"/>
    <col min="16130" max="16130" width="20.7109375" style="535" bestFit="1" customWidth="1"/>
    <col min="16131" max="16131" width="27.5703125" style="535" bestFit="1" customWidth="1"/>
    <col min="16132" max="16132" width="13" style="535" bestFit="1" customWidth="1"/>
    <col min="16133" max="16133" width="12.85546875" style="535" customWidth="1"/>
    <col min="16134" max="16134" width="15" style="535" bestFit="1" customWidth="1"/>
    <col min="16135" max="16135" width="15.28515625" style="535" bestFit="1" customWidth="1"/>
    <col min="16136" max="16136" width="13.85546875" style="535" bestFit="1" customWidth="1"/>
    <col min="16137" max="16139" width="7.7109375" style="535" customWidth="1"/>
    <col min="16140" max="16140" width="8.85546875" style="535" customWidth="1"/>
    <col min="16141" max="16144" width="7.7109375" style="535" customWidth="1"/>
    <col min="16145" max="16145" width="8.85546875" style="535" customWidth="1"/>
    <col min="16146" max="16148" width="7.7109375" style="535" customWidth="1"/>
    <col min="16149" max="16149" width="9.5703125" style="535" customWidth="1"/>
    <col min="16150" max="16150" width="8.85546875" style="535" customWidth="1"/>
    <col min="16151" max="16154" width="7.7109375" style="535" customWidth="1"/>
    <col min="16155" max="16155" width="9" style="535" bestFit="1" customWidth="1"/>
    <col min="16156" max="16384" width="16.5703125" style="535"/>
  </cols>
  <sheetData>
    <row r="2" spans="2:27" s="536" customFormat="1" ht="19.5" customHeight="1">
      <c r="B2" s="535"/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5"/>
      <c r="P2" s="535"/>
      <c r="Q2" s="535"/>
      <c r="R2" s="535"/>
      <c r="S2" s="535"/>
      <c r="T2" s="535"/>
      <c r="U2" s="535"/>
      <c r="V2" s="535"/>
      <c r="W2" s="535"/>
      <c r="X2" s="535"/>
      <c r="Y2" s="535"/>
      <c r="Z2" s="535"/>
      <c r="AA2" s="535"/>
    </row>
    <row r="3" spans="2:27" s="536" customFormat="1" ht="19.5" customHeight="1"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535"/>
      <c r="U3" s="535"/>
      <c r="V3" s="535"/>
      <c r="W3" s="535"/>
      <c r="X3" s="535"/>
      <c r="Y3" s="535"/>
      <c r="Z3" s="535"/>
      <c r="AA3" s="535"/>
    </row>
    <row r="4" spans="2:27" s="536" customFormat="1" ht="38.25" customHeight="1">
      <c r="B4" s="535"/>
      <c r="C4" s="537" t="s">
        <v>373</v>
      </c>
      <c r="D4" s="538"/>
      <c r="E4" s="538"/>
      <c r="F4" s="538"/>
      <c r="G4" s="538"/>
      <c r="H4" s="539"/>
      <c r="I4" s="535"/>
      <c r="J4" s="535"/>
      <c r="K4" s="535"/>
      <c r="L4" s="535"/>
      <c r="M4" s="535"/>
      <c r="N4" s="535"/>
      <c r="O4" s="535"/>
      <c r="P4" s="535"/>
      <c r="Q4" s="535"/>
      <c r="R4" s="535"/>
      <c r="S4" s="535"/>
      <c r="T4" s="535"/>
      <c r="U4" s="535"/>
      <c r="V4" s="535"/>
      <c r="W4" s="535"/>
      <c r="X4" s="535"/>
      <c r="Y4" s="535"/>
      <c r="Z4" s="535"/>
      <c r="AA4" s="535"/>
    </row>
    <row r="5" spans="2:27" s="536" customFormat="1" ht="16.5" customHeight="1">
      <c r="B5" s="535"/>
      <c r="C5" s="540"/>
      <c r="D5" s="541" t="s">
        <v>374</v>
      </c>
      <c r="E5" s="541"/>
      <c r="F5" s="541"/>
      <c r="G5" s="542"/>
      <c r="H5" s="543"/>
      <c r="I5" s="535"/>
      <c r="J5" s="535"/>
      <c r="K5" s="535"/>
      <c r="L5" s="535"/>
      <c r="M5" s="535"/>
      <c r="N5" s="535"/>
      <c r="O5" s="535"/>
      <c r="P5" s="535"/>
      <c r="Q5" s="535"/>
      <c r="R5" s="535"/>
      <c r="S5" s="535"/>
      <c r="T5" s="535"/>
      <c r="U5" s="535"/>
      <c r="V5" s="535"/>
      <c r="W5" s="535"/>
      <c r="X5" s="535"/>
      <c r="Y5" s="535"/>
      <c r="Z5" s="535"/>
      <c r="AA5" s="535"/>
    </row>
    <row r="6" spans="2:27" ht="18" customHeight="1">
      <c r="C6" s="397" t="s">
        <v>375</v>
      </c>
      <c r="D6" s="397" t="s">
        <v>354</v>
      </c>
      <c r="E6" s="397" t="s">
        <v>376</v>
      </c>
      <c r="F6" s="397" t="s">
        <v>377</v>
      </c>
      <c r="G6" s="397" t="s">
        <v>378</v>
      </c>
      <c r="H6" s="397" t="s">
        <v>379</v>
      </c>
    </row>
    <row r="7" spans="2:27" ht="14.25" customHeight="1">
      <c r="C7" s="544" t="s">
        <v>89</v>
      </c>
      <c r="D7" s="38">
        <f t="shared" ref="D7:D38" si="0">E7+F7+G7+H7</f>
        <v>47298</v>
      </c>
      <c r="E7" s="38">
        <f>GETPIVOTDATA("Suma de Plazas",'[1]tabla dinámica plazas auto'!$A$1,"NombreMunicipio","ADEJE","Actividad","HOTELES")</f>
        <v>33818</v>
      </c>
      <c r="F7" s="38">
        <f>GETPIVOTDATA("Suma de Plazas",'[1]tabla dinámica plazas auto'!$A$1,"NombreMunicipio","ADEJE","Actividad","apartamentos")</f>
        <v>13444</v>
      </c>
      <c r="G7" s="38">
        <f>GETPIVOTDATA("Suma de Plazas",'[1]tabla dinámica plazas auto'!$A$1,"NombreMunicipio","ADEJE","Actividad","hoteles rurales")</f>
        <v>22</v>
      </c>
      <c r="H7" s="38">
        <f>GETPIVOTDATA("Suma de Plazas",'[1]tabla dinámica plazas auto'!$A$1,"NombreMunicipio","ADEJE","Actividad","casas rurales")</f>
        <v>14</v>
      </c>
    </row>
    <row r="8" spans="2:27" ht="12.75" customHeight="1">
      <c r="C8" s="231" t="s">
        <v>380</v>
      </c>
      <c r="D8" s="38">
        <f t="shared" si="0"/>
        <v>17</v>
      </c>
      <c r="E8" s="38">
        <f>GETPIVOTDATA("Suma de Plazas",'[1]tabla dinámica plazas auto'!$A$1,"NombreMunicipio","arafo","Actividad","HOTELES")</f>
        <v>0</v>
      </c>
      <c r="F8" s="38">
        <f>GETPIVOTDATA("Suma de Plazas",'[1]tabla dinámica plazas auto'!$A$1,"NombreMunicipio","arafo","Actividad","apartamentos")</f>
        <v>0</v>
      </c>
      <c r="G8" s="38">
        <f>GETPIVOTDATA("Suma de Plazas",'[1]tabla dinámica plazas auto'!$A$1,"NombreMunicipio","arafo","Actividad","hoteles rurales")</f>
        <v>0</v>
      </c>
      <c r="H8" s="38">
        <f>GETPIVOTDATA("Suma de Plazas",'[1]tabla dinámica plazas auto'!$A$1,"NombreMunicipio","arafo","Actividad","casas rurales")</f>
        <v>17</v>
      </c>
    </row>
    <row r="9" spans="2:27">
      <c r="C9" s="231" t="s">
        <v>381</v>
      </c>
      <c r="D9" s="38">
        <f t="shared" si="0"/>
        <v>111</v>
      </c>
      <c r="E9" s="38">
        <f>GETPIVOTDATA("Suma de Plazas",'[1]tabla dinámica plazas auto'!$A$1,"NombreMunicipio","arico","Actividad","HOTELES")</f>
        <v>18</v>
      </c>
      <c r="F9" s="38">
        <f>GETPIVOTDATA("Suma de Plazas",'[1]tabla dinámica plazas auto'!$A$1,"NombreMunicipio","arico","Actividad","apartamentos")</f>
        <v>20</v>
      </c>
      <c r="G9" s="38">
        <f>GETPIVOTDATA("Suma de Plazas",'[1]tabla dinámica plazas auto'!$A$1,"NombreMunicipio","arico","Actividad","hoteles rurales")</f>
        <v>0</v>
      </c>
      <c r="H9" s="38">
        <f>GETPIVOTDATA("Suma de Plazas",'[1]tabla dinámica plazas auto'!$A$1,"NombreMunicipio","arico","Actividad","casas rurales")</f>
        <v>73</v>
      </c>
    </row>
    <row r="10" spans="2:27">
      <c r="C10" s="231" t="s">
        <v>305</v>
      </c>
      <c r="D10" s="38">
        <f t="shared" si="0"/>
        <v>39569</v>
      </c>
      <c r="E10" s="38">
        <f>GETPIVOTDATA("Suma de Plazas",'[1]tabla dinámica plazas auto'!$A$1,"NombreMunicipio","Arona","Actividad","HOTELES")</f>
        <v>16604</v>
      </c>
      <c r="F10" s="38">
        <f>GETPIVOTDATA("Suma de Plazas",'[1]tabla dinámica plazas auto'!$A$1,"NombreMunicipio","Arona","Actividad","apartamentos")</f>
        <v>22945</v>
      </c>
      <c r="G10" s="38">
        <f>GETPIVOTDATA("Suma de Plazas",'[1]tabla dinámica plazas auto'!$A$1,"NombreMunicipio","Arona","Actividad","hoteles rurales")</f>
        <v>0</v>
      </c>
      <c r="H10" s="38">
        <f>GETPIVOTDATA("Suma de Plazas",'[1]tabla dinámica plazas auto'!$A$1,"NombreMunicipio","Arona","Actividad","casas rurales")</f>
        <v>20</v>
      </c>
      <c r="I10" s="545"/>
      <c r="J10" s="545"/>
      <c r="K10" s="545"/>
      <c r="L10" s="545"/>
      <c r="M10" s="545"/>
      <c r="N10" s="545"/>
      <c r="O10" s="545"/>
      <c r="P10" s="545"/>
    </row>
    <row r="11" spans="2:27">
      <c r="C11" s="231" t="s">
        <v>382</v>
      </c>
      <c r="D11" s="38">
        <f t="shared" si="0"/>
        <v>30</v>
      </c>
      <c r="E11" s="38">
        <f>GETPIVOTDATA("Suma de Plazas",'[1]tabla dinámica plazas auto'!$A$1,"NombreMunicipio","BUENAVISTA DEL NORTE","Actividad","HOTELES")</f>
        <v>0</v>
      </c>
      <c r="F11" s="38">
        <f>GETPIVOTDATA("Suma de Plazas",'[1]tabla dinámica plazas auto'!$A$1,"NombreMunicipio","BUENAVISTA DEL NORTE","Actividad","apartamentos")</f>
        <v>0</v>
      </c>
      <c r="G11" s="38">
        <f>GETPIVOTDATA("Suma de Plazas",'[1]tabla dinámica plazas auto'!$A$1,"NombreMunicipio","BUENAVISTA DEL NORTE","Actividad","hoteles rurales")</f>
        <v>0</v>
      </c>
      <c r="H11" s="38">
        <f>GETPIVOTDATA("Suma de Plazas",'[1]tabla dinámica plazas auto'!$A$1,"NombreMunicipio","BUENAVISTA DEL NORTE","Actividad","casas rurales")</f>
        <v>30</v>
      </c>
      <c r="I11" s="545"/>
      <c r="J11" s="545"/>
      <c r="K11" s="545"/>
      <c r="L11" s="545"/>
      <c r="M11" s="545"/>
      <c r="N11" s="545"/>
      <c r="O11" s="545"/>
      <c r="P11" s="545"/>
    </row>
    <row r="12" spans="2:27">
      <c r="C12" s="231" t="s">
        <v>383</v>
      </c>
      <c r="D12" s="38">
        <f t="shared" si="0"/>
        <v>1026</v>
      </c>
      <c r="E12" s="38">
        <f>GETPIVOTDATA("Suma de Plazas",'[1]tabla dinámica plazas auto'!$A$1,"NombreMunicipio","CANDELARIA","Actividad","HOTELES")</f>
        <v>986</v>
      </c>
      <c r="F12" s="38">
        <f>GETPIVOTDATA("Suma de Plazas",'[1]tabla dinámica plazas auto'!$A$1,"NombreMunicipio","CANDELARIA","Actividad","apartamentos")</f>
        <v>28</v>
      </c>
      <c r="G12" s="38">
        <f>GETPIVOTDATA("Suma de Plazas",'[1]tabla dinámica plazas auto'!$A$1,"NombreMunicipio","CANDELARIA","Actividad","hoteles rurales")</f>
        <v>0</v>
      </c>
      <c r="H12" s="38">
        <f>GETPIVOTDATA("Suma de Plazas",'[1]tabla dinámica plazas auto'!$A$1,"NombreMunicipio","CANDELARIA","Actividad","casas rurales")</f>
        <v>12</v>
      </c>
      <c r="I12" s="546"/>
      <c r="J12" s="546"/>
      <c r="K12" s="546"/>
      <c r="L12" s="546"/>
      <c r="M12" s="546"/>
      <c r="N12" s="546"/>
      <c r="O12" s="546"/>
      <c r="P12" s="546"/>
    </row>
    <row r="13" spans="2:27">
      <c r="C13" s="231" t="s">
        <v>384</v>
      </c>
      <c r="D13" s="38">
        <f t="shared" si="0"/>
        <v>20</v>
      </c>
      <c r="E13" s="38">
        <f>GETPIVOTDATA("Suma de Plazas",'[1]tabla dinámica plazas auto'!$A$1,"NombreMunicipio","FASNIA","Actividad","HOTELES")</f>
        <v>0</v>
      </c>
      <c r="F13" s="38">
        <f>GETPIVOTDATA("Suma de Plazas",'[1]tabla dinámica plazas auto'!$A$1,"NombreMunicipio","FASNIA","Actividad","apartamentos")</f>
        <v>0</v>
      </c>
      <c r="G13" s="38">
        <f>GETPIVOTDATA("Suma de Plazas",'[1]tabla dinámica plazas auto'!$A$1,"NombreMunicipio","FASNIA","Actividad","hoteles rurales")</f>
        <v>0</v>
      </c>
      <c r="H13" s="38">
        <f>GETPIVOTDATA("Suma de Plazas",'[1]tabla dinámica plazas auto'!$A$1,"NombreMunicipio","FASNIA","Actividad","casas rurales")</f>
        <v>20</v>
      </c>
      <c r="I13" s="547"/>
      <c r="J13" s="547"/>
      <c r="K13" s="547"/>
      <c r="L13" s="547"/>
      <c r="M13" s="547"/>
      <c r="N13" s="547"/>
      <c r="O13" s="547"/>
      <c r="P13" s="547"/>
    </row>
    <row r="14" spans="2:27">
      <c r="C14" s="231" t="s">
        <v>385</v>
      </c>
      <c r="D14" s="38">
        <f t="shared" si="0"/>
        <v>163</v>
      </c>
      <c r="E14" s="38">
        <f>GETPIVOTDATA("Suma de Plazas",'[1]tabla dinámica plazas auto'!$A$1,"NombreMunicipio","GARACHICO","Actividad","HOTELES")</f>
        <v>46</v>
      </c>
      <c r="F14" s="38">
        <f>GETPIVOTDATA("Suma de Plazas",'[1]tabla dinámica plazas auto'!$A$1,"NombreMunicipio","GARACHICO","Actividad","apartamentos")</f>
        <v>4</v>
      </c>
      <c r="G14" s="38">
        <f>GETPIVOTDATA("Suma de Plazas",'[1]tabla dinámica plazas auto'!$A$1,"NombreMunicipio","GARACHICO","Actividad","hoteles rurales")</f>
        <v>78</v>
      </c>
      <c r="H14" s="38">
        <f>GETPIVOTDATA("Suma de Plazas",'[1]tabla dinámica plazas auto'!$A$1,"NombreMunicipio","GARACHICO","Actividad","casas rurales")</f>
        <v>35</v>
      </c>
      <c r="I14" s="547"/>
      <c r="J14" s="547"/>
      <c r="K14" s="547"/>
      <c r="L14" s="547"/>
      <c r="M14" s="547"/>
      <c r="N14" s="547"/>
      <c r="O14" s="547"/>
      <c r="P14" s="547"/>
    </row>
    <row r="15" spans="2:27">
      <c r="C15" s="231" t="s">
        <v>386</v>
      </c>
      <c r="D15" s="38">
        <f t="shared" si="0"/>
        <v>1376</v>
      </c>
      <c r="E15" s="38">
        <f>GETPIVOTDATA("Suma de Plazas",'[1]tabla dinámica plazas auto'!$A$1,"NombreMunicipio","GRANADILLA DE ABONA","Actividad","HOTELES")</f>
        <v>930</v>
      </c>
      <c r="F15" s="38">
        <f>GETPIVOTDATA("Suma de Plazas",'[1]tabla dinámica plazas auto'!$A$1,"NombreMunicipio","GRANADILLA DE ABONA","Actividad","apartamentos")</f>
        <v>383</v>
      </c>
      <c r="G15" s="38">
        <f>GETPIVOTDATA("Suma de Plazas",'[1]tabla dinámica plazas auto'!$A$1,"NombreMunicipio","GRANADILLA DE ABONA","Actividad","hoteles rurales")</f>
        <v>0</v>
      </c>
      <c r="H15" s="38">
        <f>GETPIVOTDATA("Suma de Plazas",'[1]tabla dinámica plazas auto'!$A$1,"NombreMunicipio","GRANADILLA DE ABONA","Actividad","casas rurales")</f>
        <v>63</v>
      </c>
      <c r="I15" s="547"/>
      <c r="J15" s="547"/>
      <c r="K15" s="547"/>
      <c r="L15" s="547"/>
      <c r="M15" s="547"/>
      <c r="N15" s="547"/>
      <c r="O15" s="547"/>
      <c r="P15" s="547"/>
    </row>
    <row r="16" spans="2:27">
      <c r="C16" s="231" t="s">
        <v>387</v>
      </c>
      <c r="D16" s="38">
        <f t="shared" si="0"/>
        <v>4</v>
      </c>
      <c r="E16" s="38">
        <f>GETPIVOTDATA("Suma de Plazas",'[1]tabla dinámica plazas auto'!$A$1,"NombreMunicipio","GUANCHA (LA)","Actividad","HOTELES")</f>
        <v>0</v>
      </c>
      <c r="F16" s="38">
        <f>GETPIVOTDATA("Suma de Plazas",'[1]tabla dinámica plazas auto'!$A$1,"NombreMunicipio","GUANCHA (LA)","Actividad","apartamentos")</f>
        <v>0</v>
      </c>
      <c r="G16" s="38">
        <f>GETPIVOTDATA("Suma de Plazas",'[1]tabla dinámica plazas auto'!$A$1,"NombreMunicipio","GUANCHA (LA)","Actividad","hoteles rurales")</f>
        <v>0</v>
      </c>
      <c r="H16" s="38">
        <f>GETPIVOTDATA("Suma de Plazas",'[1]tabla dinámica plazas auto'!$A$1,"NombreMunicipio","GUANCHA (LA)","Actividad","casas rurales")</f>
        <v>4</v>
      </c>
      <c r="I16" s="547"/>
      <c r="J16" s="547"/>
      <c r="K16" s="547"/>
      <c r="L16" s="547"/>
      <c r="M16" s="547"/>
      <c r="N16" s="547"/>
      <c r="O16" s="547"/>
      <c r="P16" s="547"/>
    </row>
    <row r="17" spans="3:16">
      <c r="C17" s="231" t="s">
        <v>388</v>
      </c>
      <c r="D17" s="38">
        <f t="shared" si="0"/>
        <v>2339</v>
      </c>
      <c r="E17" s="38">
        <f>GETPIVOTDATA("Suma de Plazas",'[1]tabla dinámica plazas auto'!$A$1,"NombreMunicipio","GUIA DE ISORA","Actividad","HOTELES")</f>
        <v>2261</v>
      </c>
      <c r="F17" s="38">
        <f>GETPIVOTDATA("Suma de Plazas",'[1]tabla dinámica plazas auto'!$A$1,"NombreMunicipio","GUIA DE ISORA","Actividad","apartamentos")</f>
        <v>30</v>
      </c>
      <c r="G17" s="38">
        <f>GETPIVOTDATA("Suma de Plazas",'[1]tabla dinámica plazas auto'!$A$1,"NombreMunicipio","GUIA DE ISORA","Actividad","hoteles rurales")</f>
        <v>15</v>
      </c>
      <c r="H17" s="38">
        <f>GETPIVOTDATA("Suma de Plazas",'[1]tabla dinámica plazas auto'!$A$1,"NombreMunicipio","GUIA DE ISORA","Actividad","casas rurales")</f>
        <v>33</v>
      </c>
      <c r="I17" s="547"/>
      <c r="J17" s="547"/>
      <c r="K17" s="547"/>
      <c r="L17" s="547"/>
      <c r="M17" s="547"/>
      <c r="N17" s="547"/>
      <c r="O17" s="547"/>
      <c r="P17" s="547"/>
    </row>
    <row r="18" spans="3:16">
      <c r="C18" s="231" t="s">
        <v>389</v>
      </c>
      <c r="D18" s="38">
        <f t="shared" si="0"/>
        <v>80</v>
      </c>
      <c r="E18" s="38">
        <f>GETPIVOTDATA("Suma de Plazas",'[1]tabla dinámica plazas auto'!$A$1,"NombreMunicipio","GÜIMAR","Actividad","HOTELES")</f>
        <v>0</v>
      </c>
      <c r="F18" s="38">
        <f>GETPIVOTDATA("Suma de Plazas",'[1]tabla dinámica plazas auto'!$A$1,"NombreMunicipio","GÜIMAR","Actividad","apartamentos")</f>
        <v>0</v>
      </c>
      <c r="G18" s="38">
        <f>GETPIVOTDATA("Suma de Plazas",'[1]tabla dinámica plazas auto'!$A$1,"NombreMunicipio","GÜIMAR","Actividad","hoteles rurales")</f>
        <v>65</v>
      </c>
      <c r="H18" s="38">
        <f>GETPIVOTDATA("Suma de Plazas",'[1]tabla dinámica plazas auto'!$A$1,"NombreMunicipio","GÜIMAR","Actividad","casas rurales")</f>
        <v>15</v>
      </c>
      <c r="I18" s="547"/>
      <c r="J18" s="547"/>
      <c r="K18" s="547"/>
      <c r="L18" s="547"/>
      <c r="M18" s="547"/>
      <c r="N18" s="547"/>
      <c r="O18" s="547"/>
      <c r="P18" s="547"/>
    </row>
    <row r="19" spans="3:16">
      <c r="C19" s="231" t="s">
        <v>390</v>
      </c>
      <c r="D19" s="38">
        <f t="shared" si="0"/>
        <v>97</v>
      </c>
      <c r="E19" s="38">
        <f>GETPIVOTDATA("Suma de Plazas",'[1]tabla dinámica plazas auto'!$A$1,"NombreMunicipio","ICOD DE LOS VINOS","Actividad","HOTELES")</f>
        <v>0</v>
      </c>
      <c r="F19" s="38">
        <f>GETPIVOTDATA("Suma de Plazas",'[1]tabla dinámica plazas auto'!$A$1,"NombreMunicipio","ICOD DE LOS VINOS","Actividad","apartamentos")</f>
        <v>0</v>
      </c>
      <c r="G19" s="38">
        <f>GETPIVOTDATA("Suma de Plazas",'[1]tabla dinámica plazas auto'!$A$1,"NombreMunicipio","ICOD DE LOS VINOS","Actividad","hoteles rurales")</f>
        <v>0</v>
      </c>
      <c r="H19" s="38">
        <f>GETPIVOTDATA("Suma de Plazas",'[1]tabla dinámica plazas auto'!$A$1,"NombreMunicipio","ICOD DE LOS VINOS","Actividad","casas rurales")</f>
        <v>97</v>
      </c>
      <c r="I19" s="547"/>
      <c r="J19" s="547"/>
      <c r="K19" s="547"/>
      <c r="L19" s="547"/>
      <c r="M19" s="547"/>
      <c r="N19" s="547"/>
      <c r="O19" s="547"/>
      <c r="P19" s="547"/>
    </row>
    <row r="20" spans="3:16">
      <c r="C20" s="231" t="s">
        <v>391</v>
      </c>
      <c r="D20" s="38">
        <f t="shared" si="0"/>
        <v>1173</v>
      </c>
      <c r="E20" s="38">
        <f>GETPIVOTDATA("Suma de Plazas",'[1]tabla dinámica plazas auto'!$A$1,"NombreMunicipio","LAGUNA (LA)","Actividad","HOTELES")</f>
        <v>689</v>
      </c>
      <c r="F20" s="38">
        <f>GETPIVOTDATA("Suma de Plazas",'[1]tabla dinámica plazas auto'!$A$1,"NombreMunicipio","LAGUNA (LA)","Actividad","apartamentos")</f>
        <v>414</v>
      </c>
      <c r="G20" s="38">
        <f>GETPIVOTDATA("Suma de Plazas",'[1]tabla dinámica plazas auto'!$A$1,"NombreMunicipio","LAGUNA (LA)","Actividad","hoteles rurales")</f>
        <v>22</v>
      </c>
      <c r="H20" s="38">
        <f>GETPIVOTDATA("Suma de Plazas",'[1]tabla dinámica plazas auto'!$A$1,"NombreMunicipio","LAGUNA (LA)","Actividad","casas rurales")</f>
        <v>48</v>
      </c>
      <c r="I20" s="547"/>
      <c r="J20" s="547"/>
      <c r="K20" s="547"/>
      <c r="L20" s="547"/>
      <c r="M20" s="547"/>
      <c r="N20" s="547"/>
      <c r="O20" s="547"/>
      <c r="P20" s="547"/>
    </row>
    <row r="21" spans="3:16">
      <c r="C21" s="231" t="s">
        <v>392</v>
      </c>
      <c r="D21" s="38">
        <f t="shared" si="0"/>
        <v>24</v>
      </c>
      <c r="E21" s="38">
        <f>GETPIVOTDATA("Suma de Plazas",'[1]tabla dinámica plazas auto'!$A$1,"NombreMunicipio","MATANZA DE ACENTEJO (LA)","Actividad","HOTELES")</f>
        <v>0</v>
      </c>
      <c r="F21" s="38">
        <f>GETPIVOTDATA("Suma de Plazas",'[1]tabla dinámica plazas auto'!$A$1,"NombreMunicipio","MATANZA DE ACENTEJO (LA)","Actividad","apartamentos")</f>
        <v>0</v>
      </c>
      <c r="G21" s="38">
        <f>GETPIVOTDATA("Suma de Plazas",'[1]tabla dinámica plazas auto'!$A$1,"NombreMunicipio","MATANZA DE ACENTEJO (LA)","Actividad","hoteles rurales")</f>
        <v>0</v>
      </c>
      <c r="H21" s="38">
        <f>GETPIVOTDATA("Suma de Plazas",'[1]tabla dinámica plazas auto'!$A$1,"NombreMunicipio","MATANZA DE ACENTEJO (LA)","Actividad","casas rurales")</f>
        <v>24</v>
      </c>
      <c r="I21" s="547"/>
      <c r="J21" s="547"/>
      <c r="K21" s="547"/>
      <c r="L21" s="547"/>
      <c r="M21" s="547"/>
      <c r="N21" s="547"/>
      <c r="O21" s="547"/>
      <c r="P21" s="547"/>
    </row>
    <row r="22" spans="3:16">
      <c r="C22" s="231" t="s">
        <v>393</v>
      </c>
      <c r="D22" s="38">
        <f t="shared" si="0"/>
        <v>158</v>
      </c>
      <c r="E22" s="38">
        <f>GETPIVOTDATA("Suma de Plazas",'[1]tabla dinámica plazas auto'!$A$1,"NombreMunicipio","OROTAVA (LA)","Actividad","HOTELES")</f>
        <v>67</v>
      </c>
      <c r="F22" s="38">
        <f>GETPIVOTDATA("Suma de Plazas",'[1]tabla dinámica plazas auto'!$A$1,"NombreMunicipio","OROTAVA (LA)","Actividad","apartamentos")</f>
        <v>34</v>
      </c>
      <c r="G22" s="38">
        <f>GETPIVOTDATA("Suma de Plazas",'[1]tabla dinámica plazas auto'!$A$1,"NombreMunicipio","OROTAVA (LA)","Actividad","hoteles rurales")</f>
        <v>28</v>
      </c>
      <c r="H22" s="38">
        <f>GETPIVOTDATA("Suma de Plazas",'[1]tabla dinámica plazas auto'!$A$1,"NombreMunicipio","OROTAVA (LA)","Actividad","casas rurales")</f>
        <v>29</v>
      </c>
      <c r="I22" s="547"/>
      <c r="J22" s="547"/>
      <c r="K22" s="547"/>
      <c r="L22" s="547"/>
      <c r="M22" s="547"/>
      <c r="N22" s="547"/>
      <c r="O22" s="547"/>
      <c r="P22" s="547"/>
    </row>
    <row r="23" spans="3:16">
      <c r="C23" s="231" t="s">
        <v>306</v>
      </c>
      <c r="D23" s="38">
        <f t="shared" si="0"/>
        <v>23028</v>
      </c>
      <c r="E23" s="38">
        <f>GETPIVOTDATA("Suma de Plazas",'[1]tabla dinámica plazas auto'!$A$1,"NombreMunicipio","PUERTO DE LA CRUZ","Actividad","HOTELES")</f>
        <v>16251</v>
      </c>
      <c r="F23" s="38">
        <f>GETPIVOTDATA("Suma de Plazas",'[1]tabla dinámica plazas auto'!$A$1,"NombreMunicipio","PUERTO DE LA CRUZ","Actividad","apartamentos")</f>
        <v>6777</v>
      </c>
      <c r="G23" s="38">
        <f>GETPIVOTDATA("Suma de Plazas",'[1]tabla dinámica plazas auto'!$A$1,"NombreMunicipio","PUERTO DE LA CRUZ","Actividad","hoteles rurales")</f>
        <v>0</v>
      </c>
      <c r="H23" s="38">
        <f>GETPIVOTDATA("Suma de Plazas",'[1]tabla dinámica plazas auto'!$A$1,"NombreMunicipio","PUERTO DE LA CRUZ","Actividad","casas rurales")</f>
        <v>0</v>
      </c>
      <c r="I23" s="547"/>
      <c r="J23" s="547"/>
      <c r="K23" s="547"/>
      <c r="L23" s="547"/>
      <c r="M23" s="547"/>
      <c r="N23" s="547"/>
      <c r="O23" s="547"/>
      <c r="P23" s="547"/>
    </row>
    <row r="24" spans="3:16">
      <c r="C24" s="231" t="s">
        <v>394</v>
      </c>
      <c r="D24" s="38">
        <f t="shared" si="0"/>
        <v>1880</v>
      </c>
      <c r="E24" s="38">
        <f>GETPIVOTDATA("Suma de Plazas",'[1]tabla dinámica plazas auto'!$A$1,"NombreMunicipio","REALEJOS (LOS)","Actividad","HOTELES")</f>
        <v>1355</v>
      </c>
      <c r="F24" s="38">
        <f>GETPIVOTDATA("Suma de Plazas",'[1]tabla dinámica plazas auto'!$A$1,"NombreMunicipio","REALEJOS (LOS)","Actividad","apartamentos")</f>
        <v>342</v>
      </c>
      <c r="G24" s="38">
        <f>GETPIVOTDATA("Suma de Plazas",'[1]tabla dinámica plazas auto'!$A$1,"NombreMunicipio","REALEJOS (LOS)","Actividad","hoteles rurales")</f>
        <v>90</v>
      </c>
      <c r="H24" s="38">
        <f>GETPIVOTDATA("Suma de Plazas",'[1]tabla dinámica plazas auto'!$A$1,"NombreMunicipio","REALEJOS (LOS)","Actividad","casas rurales")</f>
        <v>93</v>
      </c>
      <c r="I24" s="547"/>
      <c r="J24" s="547"/>
      <c r="K24" s="547"/>
      <c r="L24" s="547"/>
      <c r="M24" s="547"/>
      <c r="N24" s="547"/>
      <c r="O24" s="547"/>
      <c r="P24" s="547"/>
    </row>
    <row r="25" spans="3:16">
      <c r="C25" s="231" t="s">
        <v>395</v>
      </c>
      <c r="D25" s="38">
        <f t="shared" si="0"/>
        <v>77</v>
      </c>
      <c r="E25" s="38">
        <f>GETPIVOTDATA("Suma de Plazas",'[1]tabla dinámica plazas auto'!$A$1,"NombreMunicipio","ROSARIO (EL)","Actividad","HOTELES")</f>
        <v>21</v>
      </c>
      <c r="F25" s="38">
        <f>GETPIVOTDATA("Suma de Plazas",'[1]tabla dinámica plazas auto'!$A$1,"NombreMunicipio","ROSARIO (EL)","Actividad","apartamentos")</f>
        <v>7</v>
      </c>
      <c r="G25" s="38">
        <f>GETPIVOTDATA("Suma de Plazas",'[1]tabla dinámica plazas auto'!$A$1,"NombreMunicipio","ROSARIO (EL)","Actividad","hoteles rurales")</f>
        <v>20</v>
      </c>
      <c r="H25" s="38">
        <f>GETPIVOTDATA("Suma de Plazas",'[1]tabla dinámica plazas auto'!$A$1,"NombreMunicipio","ROSARIO (EL)","Actividad","casas rurales")</f>
        <v>29</v>
      </c>
      <c r="I25" s="547"/>
      <c r="J25" s="547"/>
      <c r="K25" s="547"/>
      <c r="L25" s="547"/>
      <c r="M25" s="547"/>
      <c r="N25" s="547"/>
      <c r="O25" s="547"/>
      <c r="P25" s="547"/>
    </row>
    <row r="26" spans="3:16">
      <c r="C26" s="231" t="s">
        <v>396</v>
      </c>
      <c r="D26" s="38">
        <f t="shared" si="0"/>
        <v>23</v>
      </c>
      <c r="E26" s="38">
        <f>GETPIVOTDATA("Suma de Plazas",'[1]tabla dinámica plazas auto'!$A$1,"NombreMunicipio","SAN JUAN DE LA RAMBLA","Actividad","HOTELES")</f>
        <v>0</v>
      </c>
      <c r="F26" s="38">
        <f>GETPIVOTDATA("Suma de Plazas",'[1]tabla dinámica plazas auto'!$A$1,"NombreMunicipio","SAN JUAN DE LA RAMBLA","Actividad","apartamentos")</f>
        <v>0</v>
      </c>
      <c r="G26" s="38">
        <f>GETPIVOTDATA("Suma de Plazas",'[1]tabla dinámica plazas auto'!$A$1,"NombreMunicipio","SAN JUAN DE LA RAMBLA","Actividad","hoteles rurales")</f>
        <v>16</v>
      </c>
      <c r="H26" s="38">
        <f>GETPIVOTDATA("Suma de Plazas",'[1]tabla dinámica plazas auto'!$A$1,"NombreMunicipio","SAN JUAN DE LA RAMBLA","Actividad","casas rurales")</f>
        <v>7</v>
      </c>
      <c r="I26" s="547"/>
      <c r="J26" s="547"/>
      <c r="K26" s="547"/>
      <c r="L26" s="547"/>
      <c r="M26" s="547"/>
      <c r="N26" s="547"/>
      <c r="O26" s="547"/>
      <c r="P26" s="547"/>
    </row>
    <row r="27" spans="3:16">
      <c r="C27" s="231" t="s">
        <v>397</v>
      </c>
      <c r="D27" s="38">
        <f t="shared" si="0"/>
        <v>4538</v>
      </c>
      <c r="E27" s="38">
        <f>GETPIVOTDATA("Suma de Plazas",'[1]tabla dinámica plazas auto'!$A$1,"NombreMunicipio","SAN MIGUEL DE ABONA","Actividad","HOTELES")</f>
        <v>1688</v>
      </c>
      <c r="F27" s="38">
        <f>GETPIVOTDATA("Suma de Plazas",'[1]tabla dinámica plazas auto'!$A$1,"NombreMunicipio","SAN MIGUEL DE ABONA","Actividad","apartamentos")</f>
        <v>2790</v>
      </c>
      <c r="G27" s="38">
        <f>GETPIVOTDATA("Suma de Plazas",'[1]tabla dinámica plazas auto'!$A$1,"NombreMunicipio","SAN MIGUEL DE ABONA","Actividad","hoteles rurales")</f>
        <v>32</v>
      </c>
      <c r="H27" s="38">
        <f>GETPIVOTDATA("Suma de Plazas",'[1]tabla dinámica plazas auto'!$A$1,"NombreMunicipio","SAN MIGUEL DE ABONA","Actividad","casas rurales")</f>
        <v>28</v>
      </c>
      <c r="I27" s="547"/>
      <c r="J27" s="547"/>
      <c r="K27" s="547"/>
      <c r="L27" s="547"/>
      <c r="M27" s="547"/>
      <c r="N27" s="547"/>
      <c r="O27" s="547"/>
      <c r="P27" s="547"/>
    </row>
    <row r="28" spans="3:16">
      <c r="C28" s="231" t="s">
        <v>398</v>
      </c>
      <c r="D28" s="38">
        <f t="shared" si="0"/>
        <v>2687</v>
      </c>
      <c r="E28" s="38">
        <f>GETPIVOTDATA("Suma de Plazas",'[1]tabla dinámica plazas auto'!$A$1,"NombreMunicipio","SANTA CRUZ DE TENERIFE","Actividad","HOTELES")</f>
        <v>2673</v>
      </c>
      <c r="F28" s="38">
        <f>GETPIVOTDATA("Suma de Plazas",'[1]tabla dinámica plazas auto'!$A$1,"NombreMunicipio","SANTA CRUZ DE TENERIFE","Actividad","apartamentos")</f>
        <v>6</v>
      </c>
      <c r="G28" s="38">
        <f>GETPIVOTDATA("Suma de Plazas",'[1]tabla dinámica plazas auto'!$A$1,"NombreMunicipio","SANTA CRUZ DE TENERIFE","Actividad","hoteles rurales")</f>
        <v>0</v>
      </c>
      <c r="H28" s="38">
        <f>GETPIVOTDATA("Suma de Plazas",'[1]tabla dinámica plazas auto'!$A$1,"NombreMunicipio","SANTA CRUZ DE TENERIFE","Actividad","casas rurales")</f>
        <v>8</v>
      </c>
      <c r="I28" s="547"/>
      <c r="J28" s="547"/>
      <c r="K28" s="547"/>
      <c r="L28" s="547"/>
      <c r="M28" s="547"/>
      <c r="N28" s="547"/>
      <c r="O28" s="547"/>
      <c r="P28" s="547"/>
    </row>
    <row r="29" spans="3:16">
      <c r="C29" s="231" t="s">
        <v>399</v>
      </c>
      <c r="D29" s="38">
        <f t="shared" si="0"/>
        <v>810</v>
      </c>
      <c r="E29" s="38">
        <f>GETPIVOTDATA("Suma de Plazas",'[1]tabla dinámica plazas auto'!$A$1,"NombreMunicipio","SANTA URSULA","Actividad","HOTELES")</f>
        <v>804</v>
      </c>
      <c r="F29" s="38">
        <f>GETPIVOTDATA("Suma de Plazas",'[1]tabla dinámica plazas auto'!$A$1,"NombreMunicipio","SANTA URSULA","Actividad","apartamentos")</f>
        <v>6</v>
      </c>
      <c r="G29" s="38">
        <f>GETPIVOTDATA("Suma de Plazas",'[1]tabla dinámica plazas auto'!$A$1,"NombreMunicipio","SANTA URSULA","Actividad","hoteles rurales")</f>
        <v>0</v>
      </c>
      <c r="H29" s="38">
        <f>GETPIVOTDATA("Suma de Plazas",'[1]tabla dinámica plazas auto'!$A$1,"NombreMunicipio","SANTA URSULA","Actividad","casas rurales")</f>
        <v>0</v>
      </c>
      <c r="I29" s="547"/>
      <c r="J29" s="547"/>
      <c r="K29" s="547"/>
      <c r="L29" s="547"/>
      <c r="M29" s="547"/>
      <c r="N29" s="547"/>
      <c r="O29" s="547"/>
      <c r="P29" s="547"/>
    </row>
    <row r="30" spans="3:16">
      <c r="C30" s="231" t="s">
        <v>400</v>
      </c>
      <c r="D30" s="38">
        <f t="shared" si="0"/>
        <v>7277</v>
      </c>
      <c r="E30" s="38">
        <f>GETPIVOTDATA("Suma de Plazas",'[1]tabla dinámica plazas auto'!$A$1,"NombreMunicipio","SANTIAGO DEL TEIDE","Actividad","HOTELES")</f>
        <v>3635</v>
      </c>
      <c r="F30" s="38">
        <f>GETPIVOTDATA("Suma de Plazas",'[1]tabla dinámica plazas auto'!$A$1,"NombreMunicipio","SANTIAGO DEL TEIDE","Actividad","apartamentos")</f>
        <v>3642</v>
      </c>
      <c r="G30" s="38">
        <f>GETPIVOTDATA("Suma de Plazas",'[1]tabla dinámica plazas auto'!$A$1,"NombreMunicipio","SANTIAGO DEL TEIDE","Actividad","hoteles rurales")</f>
        <v>0</v>
      </c>
      <c r="H30" s="38">
        <f>GETPIVOTDATA("Suma de Plazas",'[1]tabla dinámica plazas auto'!$A$1,"NombreMunicipio","SANTIAGO DEL TEIDE","Actividad","casas rurales")</f>
        <v>0</v>
      </c>
      <c r="I30" s="547"/>
      <c r="J30" s="547"/>
      <c r="K30" s="547"/>
      <c r="L30" s="547"/>
      <c r="M30" s="547"/>
      <c r="N30" s="547"/>
      <c r="O30" s="547"/>
      <c r="P30" s="547"/>
    </row>
    <row r="31" spans="3:16">
      <c r="C31" s="231" t="s">
        <v>401</v>
      </c>
      <c r="D31" s="38">
        <f t="shared" si="0"/>
        <v>18</v>
      </c>
      <c r="E31" s="38">
        <f>GETPIVOTDATA("Suma de Plazas",'[1]tabla dinámica plazas auto'!$A$1,"NombreMunicipio","SAUZAL (EL)","Actividad","HOTELES")</f>
        <v>14</v>
      </c>
      <c r="F31" s="38">
        <f>GETPIVOTDATA("Suma de Plazas",'[1]tabla dinámica plazas auto'!$A$1,"NombreMunicipio","SAUZAL (EL)","Actividad","apartamentos")</f>
        <v>0</v>
      </c>
      <c r="G31" s="38">
        <f>GETPIVOTDATA("Suma de Plazas",'[1]tabla dinámica plazas auto'!$A$1,"NombreMunicipio","SAUZAL (EL)","Actividad","hoteles rurales")</f>
        <v>0</v>
      </c>
      <c r="H31" s="38">
        <f>GETPIVOTDATA("Suma de Plazas",'[1]tabla dinámica plazas auto'!$A$1,"NombreMunicipio","SAUZAL (EL)","Actividad","casas rurales")</f>
        <v>4</v>
      </c>
      <c r="I31" s="547"/>
      <c r="J31" s="547"/>
      <c r="K31" s="547"/>
      <c r="L31" s="547"/>
      <c r="M31" s="547"/>
      <c r="N31" s="547"/>
      <c r="O31" s="547"/>
      <c r="P31" s="547"/>
    </row>
    <row r="32" spans="3:16">
      <c r="C32" s="231" t="s">
        <v>402</v>
      </c>
      <c r="D32" s="38">
        <f t="shared" si="0"/>
        <v>45</v>
      </c>
      <c r="E32" s="38">
        <f>GETPIVOTDATA("Suma de Plazas",'[1]tabla dinámica plazas auto'!$A$1,"NombreMunicipio","SILOS (LOS)","Actividad","HOTELES")</f>
        <v>0</v>
      </c>
      <c r="F32" s="38">
        <f>GETPIVOTDATA("Suma de Plazas",'[1]tabla dinámica plazas auto'!$A$1,"NombreMunicipio","SILOS (LOS)","Actividad","apartamentos")</f>
        <v>10</v>
      </c>
      <c r="G32" s="38">
        <f>GETPIVOTDATA("Suma de Plazas",'[1]tabla dinámica plazas auto'!$A$1,"NombreMunicipio","SILOS (LOS)","Actividad","hoteles rurales")</f>
        <v>24</v>
      </c>
      <c r="H32" s="38">
        <f>GETPIVOTDATA("Suma de Plazas",'[1]tabla dinámica plazas auto'!$A$1,"NombreMunicipio","SILOS (LOS)","Actividad","casas rurales")</f>
        <v>11</v>
      </c>
      <c r="I32" s="547"/>
      <c r="J32" s="547"/>
      <c r="K32" s="547"/>
      <c r="L32" s="547"/>
      <c r="M32" s="547"/>
      <c r="N32" s="547"/>
      <c r="O32" s="547"/>
      <c r="P32" s="547"/>
    </row>
    <row r="33" spans="2:27">
      <c r="C33" s="231" t="s">
        <v>403</v>
      </c>
      <c r="D33" s="38">
        <f t="shared" si="0"/>
        <v>296</v>
      </c>
      <c r="E33" s="38">
        <f>GETPIVOTDATA("Suma de Plazas",'[1]tabla dinámica plazas auto'!$A$1,"NombreMunicipio","TACORONTE","Actividad","HOTELES")</f>
        <v>0</v>
      </c>
      <c r="F33" s="38">
        <f>GETPIVOTDATA("Suma de Plazas",'[1]tabla dinámica plazas auto'!$A$1,"NombreMunicipio","TACORONTE","Actividad","apartamentos")</f>
        <v>272</v>
      </c>
      <c r="G33" s="38">
        <f>GETPIVOTDATA("Suma de Plazas",'[1]tabla dinámica plazas auto'!$A$1,"NombreMunicipio","TACORONTE","Actividad","hoteles rurales")</f>
        <v>0</v>
      </c>
      <c r="H33" s="38">
        <f>GETPIVOTDATA("Suma de Plazas",'[1]tabla dinámica plazas auto'!$A$1,"NombreMunicipio","TACORONTE","Actividad","casas rurales")</f>
        <v>24</v>
      </c>
      <c r="I33" s="547"/>
      <c r="J33" s="547"/>
      <c r="K33" s="547"/>
      <c r="L33" s="547"/>
      <c r="M33" s="547"/>
      <c r="N33" s="547"/>
      <c r="O33" s="547"/>
      <c r="P33" s="547"/>
    </row>
    <row r="34" spans="2:27">
      <c r="C34" s="231" t="s">
        <v>404</v>
      </c>
      <c r="D34" s="38">
        <f t="shared" si="0"/>
        <v>24</v>
      </c>
      <c r="E34" s="38">
        <f>GETPIVOTDATA("Suma de Plazas",'[1]tabla dinámica plazas auto'!$A$1,"NombreMunicipio","TANQUE (EL)","Actividad","HOTELES")</f>
        <v>0</v>
      </c>
      <c r="F34" s="38">
        <f>GETPIVOTDATA("Suma de Plazas",'[1]tabla dinámica plazas auto'!$A$1,"NombreMunicipio","TANQUE (EL)","Actividad","apartamentos")</f>
        <v>0</v>
      </c>
      <c r="G34" s="38">
        <f>GETPIVOTDATA("Suma de Plazas",'[1]tabla dinámica plazas auto'!$A$1,"NombreMunicipio","TANQUE (EL)","Actividad","hoteles rurales")</f>
        <v>21</v>
      </c>
      <c r="H34" s="38">
        <f>GETPIVOTDATA("Suma de Plazas",'[1]tabla dinámica plazas auto'!$A$1,"NombreMunicipio","TANQUE (EL)","Actividad","casas rurales")</f>
        <v>3</v>
      </c>
      <c r="I34" s="547"/>
      <c r="J34" s="547"/>
      <c r="K34" s="547"/>
      <c r="L34" s="547"/>
      <c r="M34" s="547"/>
      <c r="N34" s="547"/>
      <c r="O34" s="547"/>
      <c r="P34" s="547"/>
    </row>
    <row r="35" spans="2:27">
      <c r="C35" s="231" t="s">
        <v>405</v>
      </c>
      <c r="D35" s="38">
        <f t="shared" si="0"/>
        <v>16</v>
      </c>
      <c r="E35" s="38">
        <f>GETPIVOTDATA("Suma de Plazas",'[1]tabla dinámica plazas auto'!$A$1,"NombreMunicipio","TEGUESTE","Actividad","HOTELES")</f>
        <v>0</v>
      </c>
      <c r="F35" s="38">
        <f>GETPIVOTDATA("Suma de Plazas",'[1]tabla dinámica plazas auto'!$A$1,"NombreMunicipio","TEGUESTE","Actividad","apartamentos")</f>
        <v>7</v>
      </c>
      <c r="G35" s="38">
        <f>GETPIVOTDATA("Suma de Plazas",'[1]tabla dinámica plazas auto'!$A$1,"NombreMunicipio","TEGUESTE","Actividad","hoteles rurales")</f>
        <v>0</v>
      </c>
      <c r="H35" s="38">
        <f>GETPIVOTDATA("Suma de Plazas",'[1]tabla dinámica plazas auto'!$A$1,"NombreMunicipio","TEGUESTE","Actividad","casas rurales")</f>
        <v>9</v>
      </c>
      <c r="I35" s="547"/>
      <c r="J35" s="547"/>
      <c r="K35" s="547"/>
      <c r="L35" s="547"/>
      <c r="M35" s="547"/>
      <c r="N35" s="547"/>
      <c r="O35" s="547"/>
      <c r="P35" s="547"/>
    </row>
    <row r="36" spans="2:27">
      <c r="C36" s="231" t="s">
        <v>406</v>
      </c>
      <c r="D36" s="38">
        <f t="shared" si="0"/>
        <v>12</v>
      </c>
      <c r="E36" s="38">
        <f>GETPIVOTDATA("Suma de Plazas",'[1]tabla dinámica plazas auto'!$A$1,"NombreMunicipio","VICTORIA DE ACENTEJO (LA)","Actividad","HOTELES")</f>
        <v>0</v>
      </c>
      <c r="F36" s="38">
        <f>GETPIVOTDATA("Suma de Plazas",'[1]tabla dinámica plazas auto'!$A$1,"NombreMunicipio","VICTORIA DE ACENTEJO (LA)","Actividad","apartamentos")</f>
        <v>0</v>
      </c>
      <c r="G36" s="38">
        <f>GETPIVOTDATA("Suma de Plazas",'[1]tabla dinámica plazas auto'!$A$1,"NombreMunicipio","VICTORIA DE ACENTEJO (LA)","Actividad","hoteles rurales")</f>
        <v>0</v>
      </c>
      <c r="H36" s="38">
        <f>GETPIVOTDATA("Suma de Plazas",'[1]tabla dinámica plazas auto'!$A$1,"NombreMunicipio","VICTORIA DE ACENTEJO (LA)","Actividad","casas rurales")</f>
        <v>12</v>
      </c>
      <c r="I36" s="547"/>
      <c r="J36" s="547"/>
      <c r="K36" s="547"/>
      <c r="L36" s="547"/>
      <c r="M36" s="547"/>
      <c r="N36" s="547"/>
      <c r="O36" s="547"/>
      <c r="P36" s="547"/>
    </row>
    <row r="37" spans="2:27">
      <c r="C37" s="231" t="s">
        <v>407</v>
      </c>
      <c r="D37" s="38">
        <f t="shared" si="0"/>
        <v>157</v>
      </c>
      <c r="E37" s="38">
        <f>GETPIVOTDATA("Suma de Plazas",'[1]tabla dinámica plazas auto'!$A$1,"NombreMunicipio","VILAFLOR","Actividad","HOTELES")</f>
        <v>97</v>
      </c>
      <c r="F37" s="38">
        <f>GETPIVOTDATA("Suma de Plazas",'[1]tabla dinámica plazas auto'!$A$1,"NombreMunicipio","VILAFLOR","Actividad","apartamentos")</f>
        <v>6</v>
      </c>
      <c r="G37" s="38">
        <f>GETPIVOTDATA("Suma de Plazas",'[1]tabla dinámica plazas auto'!$A$1,"NombreMunicipio","VILAFLOR","Actividad","hoteles rurales")</f>
        <v>40</v>
      </c>
      <c r="H37" s="38">
        <f>GETPIVOTDATA("Suma de Plazas",'[1]tabla dinámica plazas auto'!$A$1,"NombreMunicipio","VILAFLOR","Actividad","casas rurales")</f>
        <v>14</v>
      </c>
      <c r="I37" s="547"/>
      <c r="J37" s="547"/>
      <c r="K37" s="547"/>
      <c r="L37" s="547"/>
      <c r="M37" s="547"/>
      <c r="N37" s="547"/>
      <c r="O37" s="547"/>
      <c r="P37" s="547"/>
    </row>
    <row r="38" spans="2:27">
      <c r="C38" s="548" t="s">
        <v>408</v>
      </c>
      <c r="D38" s="549">
        <f t="shared" si="0"/>
        <v>134373</v>
      </c>
      <c r="E38" s="549">
        <f>GETPIVOTDATA("Suma de Plazas",'[1]tabla dinámica plazas auto'!$A$1,"Actividad","HOTELES")</f>
        <v>81957</v>
      </c>
      <c r="F38" s="549">
        <f>GETPIVOTDATA("Suma de Plazas",'[1]tabla dinámica plazas auto'!$A$1,"Actividad","apartamentos")</f>
        <v>51167</v>
      </c>
      <c r="G38" s="549">
        <f>GETPIVOTDATA("Suma de Plazas",'[1]tabla dinámica plazas auto'!$A$1,"Actividad","hoteles rurales")</f>
        <v>473</v>
      </c>
      <c r="H38" s="549">
        <f>GETPIVOTDATA("Suma de Plazas",'[1]tabla dinámica plazas auto'!$A$1,"Actividad","casas rurales")</f>
        <v>776</v>
      </c>
      <c r="I38" s="547"/>
      <c r="J38" s="547"/>
      <c r="K38" s="547"/>
      <c r="L38" s="547"/>
      <c r="M38" s="547"/>
      <c r="N38" s="547"/>
      <c r="O38" s="547"/>
      <c r="P38" s="547"/>
    </row>
    <row r="39" spans="2:27" ht="14.25" customHeight="1">
      <c r="C39" s="238" t="s">
        <v>409</v>
      </c>
      <c r="D39" s="239"/>
      <c r="E39" s="239"/>
      <c r="F39" s="239"/>
      <c r="G39" s="239"/>
      <c r="H39" s="240"/>
      <c r="I39" s="547"/>
      <c r="J39" s="547"/>
      <c r="K39" s="547"/>
      <c r="L39" s="547"/>
      <c r="M39" s="547"/>
      <c r="N39" s="547"/>
      <c r="O39" s="547"/>
      <c r="P39" s="547"/>
    </row>
    <row r="40" spans="2:27">
      <c r="I40" s="547"/>
      <c r="J40" s="547"/>
      <c r="K40" s="547"/>
      <c r="L40" s="547"/>
      <c r="M40" s="547"/>
      <c r="N40" s="547"/>
      <c r="O40" s="547"/>
      <c r="P40" s="547"/>
    </row>
    <row r="41" spans="2:27" ht="26.25" customHeight="1">
      <c r="G41" s="547"/>
      <c r="H41" s="547"/>
      <c r="I41" s="547"/>
      <c r="J41" s="547"/>
      <c r="K41" s="547"/>
      <c r="L41" s="547"/>
      <c r="M41" s="547"/>
      <c r="N41" s="547"/>
    </row>
    <row r="42" spans="2:27" ht="33" customHeight="1">
      <c r="H42" s="550"/>
      <c r="I42" s="550"/>
      <c r="J42" s="550"/>
      <c r="K42" s="550"/>
      <c r="L42" s="550"/>
      <c r="M42" s="550"/>
      <c r="N42" s="550"/>
      <c r="O42" s="550"/>
      <c r="P42" s="550"/>
      <c r="Q42" s="550"/>
      <c r="R42" s="550"/>
      <c r="S42" s="550"/>
      <c r="T42" s="550"/>
      <c r="U42" s="550"/>
      <c r="V42" s="550"/>
      <c r="W42" s="550"/>
      <c r="X42" s="550"/>
      <c r="Y42" s="550"/>
      <c r="Z42" s="550"/>
      <c r="AA42" s="550"/>
    </row>
    <row r="43" spans="2:27">
      <c r="B43" s="545"/>
      <c r="C43" s="551"/>
      <c r="D43" s="552"/>
      <c r="E43" s="552"/>
      <c r="F43" s="552"/>
      <c r="G43" s="547"/>
      <c r="H43" s="547"/>
      <c r="I43" s="547"/>
      <c r="J43" s="547"/>
      <c r="K43" s="547"/>
      <c r="L43" s="547"/>
      <c r="M43" s="547"/>
      <c r="N43" s="547"/>
      <c r="O43" s="547"/>
      <c r="P43" s="547"/>
    </row>
    <row r="44" spans="2:27">
      <c r="B44" s="545"/>
      <c r="C44" s="545"/>
      <c r="D44" s="545"/>
      <c r="E44" s="545"/>
      <c r="F44" s="545"/>
      <c r="G44" s="545"/>
      <c r="H44" s="545"/>
      <c r="I44" s="545"/>
      <c r="J44" s="545"/>
      <c r="K44" s="545"/>
      <c r="L44" s="545"/>
      <c r="M44" s="545"/>
      <c r="N44" s="545"/>
      <c r="O44" s="545"/>
      <c r="P44" s="545"/>
    </row>
    <row r="45" spans="2:27">
      <c r="B45" s="545"/>
      <c r="C45" s="545"/>
      <c r="D45" s="545"/>
      <c r="E45" s="545"/>
      <c r="F45" s="545"/>
      <c r="G45" s="545"/>
      <c r="H45" s="545"/>
      <c r="I45" s="545"/>
      <c r="J45" s="545"/>
      <c r="K45" s="545"/>
      <c r="L45" s="545"/>
      <c r="M45" s="545"/>
      <c r="N45" s="545"/>
      <c r="O45" s="545"/>
      <c r="P45" s="545"/>
    </row>
    <row r="46" spans="2:27">
      <c r="B46" s="545"/>
      <c r="C46" s="545"/>
      <c r="D46" s="545"/>
      <c r="E46" s="545"/>
      <c r="F46" s="545"/>
      <c r="G46" s="545"/>
      <c r="H46" s="545"/>
      <c r="I46" s="545"/>
      <c r="J46" s="545"/>
      <c r="K46" s="545"/>
      <c r="L46" s="545"/>
      <c r="M46" s="545"/>
      <c r="N46" s="545"/>
      <c r="O46" s="545"/>
      <c r="P46" s="545"/>
    </row>
    <row r="47" spans="2:27">
      <c r="B47" s="545"/>
      <c r="C47" s="545"/>
      <c r="D47" s="545"/>
      <c r="E47" s="545"/>
      <c r="F47" s="545"/>
      <c r="G47" s="545"/>
      <c r="H47" s="545"/>
      <c r="I47" s="545"/>
      <c r="J47" s="545"/>
      <c r="K47" s="545"/>
      <c r="L47" s="545"/>
      <c r="M47" s="545"/>
      <c r="N47" s="545"/>
      <c r="O47" s="545"/>
      <c r="P47" s="545"/>
    </row>
    <row r="48" spans="2:27">
      <c r="B48" s="545"/>
      <c r="C48" s="545"/>
      <c r="D48" s="545"/>
      <c r="E48" s="545"/>
      <c r="F48" s="545"/>
      <c r="G48" s="545"/>
      <c r="H48" s="545"/>
      <c r="I48" s="545"/>
      <c r="J48" s="545"/>
      <c r="K48" s="545"/>
      <c r="L48" s="545"/>
      <c r="M48" s="545"/>
      <c r="N48" s="545"/>
      <c r="O48" s="545"/>
      <c r="P48" s="545"/>
    </row>
    <row r="49" spans="2:16">
      <c r="B49" s="545"/>
      <c r="C49" s="545"/>
      <c r="D49" s="545"/>
      <c r="E49" s="545"/>
      <c r="F49" s="545"/>
      <c r="G49" s="545"/>
      <c r="H49" s="545"/>
      <c r="I49" s="545"/>
      <c r="J49" s="545"/>
      <c r="K49" s="545"/>
      <c r="L49" s="545"/>
      <c r="M49" s="545"/>
      <c r="N49" s="545"/>
      <c r="O49" s="545"/>
      <c r="P49" s="545"/>
    </row>
    <row r="50" spans="2:16">
      <c r="B50" s="545"/>
      <c r="C50" s="545"/>
      <c r="D50" s="545"/>
      <c r="E50" s="545"/>
      <c r="F50" s="545"/>
      <c r="G50" s="545"/>
      <c r="H50" s="545"/>
      <c r="I50" s="545"/>
      <c r="J50" s="545"/>
      <c r="K50" s="545"/>
      <c r="L50" s="545"/>
      <c r="M50" s="545"/>
      <c r="N50" s="545"/>
      <c r="O50" s="545"/>
      <c r="P50" s="545"/>
    </row>
    <row r="51" spans="2:16">
      <c r="B51" s="545"/>
      <c r="C51" s="545"/>
      <c r="D51" s="545"/>
      <c r="E51" s="545"/>
      <c r="F51" s="545"/>
      <c r="G51" s="545"/>
      <c r="H51" s="545"/>
      <c r="I51" s="545"/>
      <c r="J51" s="545"/>
      <c r="K51" s="545"/>
      <c r="L51" s="545"/>
      <c r="M51" s="545"/>
      <c r="N51" s="545"/>
      <c r="O51" s="545"/>
      <c r="P51" s="545"/>
    </row>
    <row r="52" spans="2:16">
      <c r="B52" s="545"/>
      <c r="C52" s="545"/>
      <c r="D52" s="545"/>
      <c r="E52" s="545"/>
      <c r="F52" s="545"/>
      <c r="G52" s="545"/>
      <c r="H52" s="545"/>
      <c r="I52" s="545"/>
      <c r="J52" s="545"/>
      <c r="K52" s="545"/>
      <c r="L52" s="545"/>
      <c r="M52" s="545"/>
      <c r="N52" s="545"/>
      <c r="O52" s="545"/>
      <c r="P52" s="545"/>
    </row>
    <row r="53" spans="2:16">
      <c r="B53" s="545"/>
      <c r="C53" s="545"/>
      <c r="D53" s="545"/>
      <c r="E53" s="545"/>
      <c r="F53" s="545"/>
      <c r="G53" s="545"/>
      <c r="H53" s="545"/>
      <c r="I53" s="545"/>
      <c r="J53" s="545"/>
      <c r="K53" s="545"/>
      <c r="L53" s="545"/>
      <c r="M53" s="545"/>
      <c r="N53" s="545"/>
      <c r="O53" s="545"/>
      <c r="P53" s="545"/>
    </row>
    <row r="54" spans="2:16">
      <c r="B54" s="545"/>
      <c r="C54" s="545"/>
      <c r="D54" s="545"/>
      <c r="E54" s="545"/>
      <c r="F54" s="545"/>
      <c r="G54" s="545"/>
      <c r="H54" s="545"/>
      <c r="I54" s="545"/>
      <c r="J54" s="545"/>
      <c r="K54" s="545"/>
      <c r="L54" s="545"/>
      <c r="M54" s="545"/>
      <c r="N54" s="545"/>
      <c r="O54" s="545"/>
      <c r="P54" s="545"/>
    </row>
    <row r="55" spans="2:16">
      <c r="B55" s="545"/>
      <c r="C55" s="545"/>
      <c r="D55" s="545"/>
      <c r="E55" s="545"/>
      <c r="F55" s="545"/>
      <c r="G55" s="545"/>
      <c r="H55" s="545"/>
      <c r="I55" s="545"/>
      <c r="J55" s="545"/>
      <c r="K55" s="545"/>
      <c r="L55" s="545"/>
      <c r="M55" s="545"/>
      <c r="N55" s="545"/>
      <c r="O55" s="545"/>
      <c r="P55" s="545"/>
    </row>
    <row r="56" spans="2:16">
      <c r="B56" s="545"/>
      <c r="C56" s="545"/>
      <c r="D56" s="545"/>
      <c r="E56" s="545"/>
      <c r="F56" s="545"/>
      <c r="G56" s="545"/>
      <c r="H56" s="545"/>
      <c r="I56" s="545"/>
      <c r="J56" s="545"/>
      <c r="K56" s="545"/>
      <c r="L56" s="545"/>
      <c r="M56" s="545"/>
      <c r="N56" s="545"/>
      <c r="O56" s="545"/>
      <c r="P56" s="545"/>
    </row>
    <row r="57" spans="2:16">
      <c r="B57" s="545"/>
      <c r="C57" s="545"/>
      <c r="D57" s="545"/>
      <c r="E57" s="545"/>
      <c r="F57" s="545"/>
      <c r="G57" s="545"/>
      <c r="H57" s="545"/>
      <c r="I57" s="545"/>
      <c r="J57" s="545"/>
      <c r="K57" s="545"/>
      <c r="L57" s="545"/>
      <c r="M57" s="545"/>
      <c r="N57" s="545"/>
      <c r="O57" s="545"/>
      <c r="P57" s="545"/>
    </row>
    <row r="58" spans="2:16">
      <c r="B58" s="545"/>
      <c r="C58" s="545"/>
      <c r="D58" s="545"/>
      <c r="E58" s="545"/>
      <c r="F58" s="545"/>
      <c r="G58" s="545"/>
      <c r="H58" s="545"/>
      <c r="I58" s="545"/>
      <c r="J58" s="545"/>
      <c r="K58" s="545"/>
      <c r="L58" s="545"/>
      <c r="M58" s="545"/>
      <c r="N58" s="545"/>
      <c r="O58" s="545"/>
      <c r="P58" s="545"/>
    </row>
    <row r="59" spans="2:16">
      <c r="B59" s="545"/>
      <c r="C59" s="545"/>
      <c r="D59" s="545"/>
      <c r="E59" s="545"/>
      <c r="F59" s="545"/>
      <c r="G59" s="545"/>
      <c r="H59" s="545"/>
      <c r="I59" s="545"/>
      <c r="J59" s="545"/>
      <c r="K59" s="545"/>
      <c r="L59" s="545"/>
      <c r="M59" s="545"/>
      <c r="N59" s="545"/>
      <c r="O59" s="545"/>
      <c r="P59" s="545"/>
    </row>
    <row r="60" spans="2:16">
      <c r="B60" s="545"/>
      <c r="C60" s="545"/>
      <c r="D60" s="545"/>
      <c r="E60" s="545"/>
      <c r="F60" s="545"/>
      <c r="G60" s="545"/>
      <c r="H60" s="545"/>
      <c r="I60" s="545"/>
      <c r="J60" s="545"/>
      <c r="K60" s="545"/>
      <c r="L60" s="545"/>
      <c r="M60" s="545"/>
      <c r="N60" s="545"/>
      <c r="O60" s="545"/>
      <c r="P60" s="545"/>
    </row>
  </sheetData>
  <mergeCells count="3">
    <mergeCell ref="C4:H4"/>
    <mergeCell ref="D5:F5"/>
    <mergeCell ref="C39:H39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ADEJE (acumulado julio 2010)</oddHeader>
    <oddFooter>&amp;CTurismo de Tenerife&amp;R&amp;P</oddFooter>
  </headerFooter>
  <colBreaks count="1" manualBreakCount="1">
    <brk id="27" max="1048575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julio</mes>
    <year xmlns="f58ff5a6-252f-4ce0-9aec-4d01cb81bd09">2010</year>
    <PublishingExpirationDate xmlns="http://schemas.microsoft.com/sharepoint/v3" xsi:nil="true"/>
    <mercado xmlns="f58ff5a6-252f-4ce0-9aec-4d01cb81bd09">espana</mercado>
    <PublishingStartDate xmlns="http://schemas.microsoft.com/sharepoint/v3">2010-08-03T23:00:00+00:00</PublishingStartDate>
    <_dlc_DocId xmlns="8b099203-c902-4a5b-992f-1f849b15ff82">Q5F7QW3RQ55V-2054-215</_dlc_DocId>
    <_dlc_DocIdUrl xmlns="8b099203-c902-4a5b-992f-1f849b15ff82">
      <Url>http://cd102671/es/investigacion/Situacion-turistica/zonas-turisticas-tenerife/_layouts/DocIdRedir.aspx?ID=Q5F7QW3RQ55V-2054-215</Url>
      <Description>Q5F7QW3RQ55V-2054-215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0519B3DC-0F5E-46BD-83B3-FF99049337BE}"/>
</file>

<file path=customXml/itemProps2.xml><?xml version="1.0" encoding="utf-8"?>
<ds:datastoreItem xmlns:ds="http://schemas.openxmlformats.org/officeDocument/2006/customXml" ds:itemID="{C5277908-D76A-4B65-9FF3-4A725E673D89}"/>
</file>

<file path=customXml/itemProps3.xml><?xml version="1.0" encoding="utf-8"?>
<ds:datastoreItem xmlns:ds="http://schemas.openxmlformats.org/officeDocument/2006/customXml" ds:itemID="{9EF27FE7-875F-4A69-A467-28460E8B828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105</vt:i4>
      </vt:variant>
      <vt:variant>
        <vt:lpstr>Rangos con nombre</vt:lpstr>
      </vt:variant>
      <vt:variant>
        <vt:i4>105</vt:i4>
      </vt:variant>
    </vt:vector>
  </HeadingPairs>
  <TitlesOfParts>
    <vt:vector size="210" baseType="lpstr">
      <vt:lpstr>Menú Principal</vt:lpstr>
      <vt:lpstr>Menú Turismo alojado</vt:lpstr>
      <vt:lpstr>Menú tipología de establecimien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Menú zonas y tipología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Menú categoría-tipología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Menú nacionalidades</vt:lpstr>
      <vt:lpstr>graficas evol mensual merc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Menú Pernoctaciones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Menú IO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Menú EM</vt:lpstr>
      <vt:lpstr>Tablas evol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Menú municipios turísticos</vt:lpstr>
      <vt:lpstr>Alojados por municipio</vt:lpstr>
      <vt:lpstr>Gráfica alojados municipio</vt:lpstr>
      <vt:lpstr>Alojados tipología y categoría</vt:lpstr>
      <vt:lpstr>Gráfico aloj tipolog y categorí</vt:lpstr>
      <vt:lpstr>Pernoctaciones munic y tipologí</vt:lpstr>
      <vt:lpstr>Gráfica pernoct munic tipología</vt:lpstr>
      <vt:lpstr>pernocta municipio y catego</vt:lpstr>
      <vt:lpstr>Gráfico pernocta munic y cate</vt:lpstr>
      <vt:lpstr>IO municipio y Tipología</vt:lpstr>
      <vt:lpstr>gráfica IO MUNICIPI y tipología</vt:lpstr>
      <vt:lpstr>IO municipio y catego</vt:lpstr>
      <vt:lpstr>Gráfico IOa munic y ca </vt:lpstr>
      <vt:lpstr>EM MUNICIPIO y tipología</vt:lpstr>
      <vt:lpstr>gráfico EM MUNICIPI y tipología</vt:lpstr>
      <vt:lpstr>EM municipio y catego</vt:lpstr>
      <vt:lpstr>Gráfico EM munic y ca </vt:lpstr>
      <vt:lpstr>Nacionalidad-Zona (datos)</vt:lpstr>
      <vt:lpstr>evolucion nac zonas</vt:lpstr>
      <vt:lpstr>Nacionalidad-Zona</vt:lpstr>
      <vt:lpstr>Menú Oferta Alojativa</vt:lpstr>
      <vt:lpstr>Ofe Aloj Estim zona cat </vt:lpstr>
      <vt:lpstr>Graf plazas estim zona tipologí</vt:lpstr>
      <vt:lpstr>Oferta Alojat Estim tipol categ</vt:lpstr>
      <vt:lpstr>Gráfica plazas estim tipo categ</vt:lpstr>
      <vt:lpstr>Gráfica distrib plazas est tipo</vt:lpstr>
      <vt:lpstr>Menú plazas autorizadas</vt:lpstr>
      <vt:lpstr>Plazas Autorizadas tipología</vt:lpstr>
      <vt:lpstr>Gráfic Plazas Autoriz tipología</vt:lpstr>
      <vt:lpstr>Cuotas Plazas Autorizadas05</vt:lpstr>
      <vt:lpstr>Distrib Plazas Autor 03_04-05</vt:lpstr>
      <vt:lpstr>Gráfica Distrib Plazas Autoriza</vt:lpstr>
      <vt:lpstr>Hoja1</vt:lpstr>
      <vt:lpstr>actualizaciones</vt:lpstr>
      <vt:lpstr>'Alojados evol mensual'!Área_de_impresión</vt:lpstr>
      <vt:lpstr>'Alojados por municipio'!Área_de_impresión</vt:lpstr>
      <vt:lpstr>'Alojados tipología'!Área_de_impresión</vt:lpstr>
      <vt:lpstr>'Alojados tipología y categoría'!Área_de_impresión</vt:lpstr>
      <vt:lpstr>'Alojados zona tipología'!Área_de_impresión</vt:lpstr>
      <vt:lpstr>'Cuotas Plazas Autorizadas05'!Área_de_impresión</vt:lpstr>
      <vt:lpstr>'Distrib Plazas Autor 03_04-05'!Área_de_impresión</vt:lpstr>
      <vt:lpstr>'Distribución Nacionalidades'!Área_de_impresión</vt:lpstr>
      <vt:lpstr>'EM evolución mensual'!Área_de_impresión</vt:lpstr>
      <vt:lpstr>'EM municipio y catego'!Área_de_impresión</vt:lpstr>
      <vt:lpstr>'EM MUNICIPIO y tipología'!Área_de_impresión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IO CAT '!Área_de_impresión</vt:lpstr>
      <vt:lpstr>'evolución IO zona'!Área_de_impresión</vt:lpstr>
      <vt:lpstr>'evolucion nac zonas'!Área_de_impresión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 plazas estim zona tipologí'!Área_de_impresión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 Plazas Autoriz tipología'!Área_de_impresión</vt:lpstr>
      <vt:lpstr>'Gráfica alojados municipio'!Área_de_impresión</vt:lpstr>
      <vt:lpstr>'Gráfica Distrib Plazas Autoriza'!Área_de_impresión</vt:lpstr>
      <vt:lpstr>'Gráfica distrib plazas est tipo'!Área_de_impresión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MUNICIPI y tipología'!Área_de_impresión</vt:lpstr>
      <vt:lpstr>'gráfica IO tipología'!Área_de_impresión</vt:lpstr>
      <vt:lpstr>'gráfica IO zonas y tipologí '!Área_de_impresión</vt:lpstr>
      <vt:lpstr>'Gráfica pernoct munic tipología'!Área_de_impresión</vt:lpstr>
      <vt:lpstr>'Gráfica pernoct tipolog'!Área_de_impresión</vt:lpstr>
      <vt:lpstr>'Gráfica pernoctaciones mensual'!Área_de_impresión</vt:lpstr>
      <vt:lpstr>'Gráfica plazas estim tipo categ'!Área_de_impresión</vt:lpstr>
      <vt:lpstr>'grafica zona mensual'!Área_de_impresión</vt:lpstr>
      <vt:lpstr>'graficas evol mensual merc'!Área_de_impresión</vt:lpstr>
      <vt:lpstr>'Gráfico aloj tipolog y categorí'!Área_de_impresión</vt:lpstr>
      <vt:lpstr>'Gráfico alojados mensual'!Área_de_impresión</vt:lpstr>
      <vt:lpstr>'Gráfico alojados zona y tipolog'!Área_de_impresión</vt:lpstr>
      <vt:lpstr>'Gráfico EM munic y ca '!Área_de_impresión</vt:lpstr>
      <vt:lpstr>'gráfico EM MUNICIPI y tipología'!Área_de_impresión</vt:lpstr>
      <vt:lpstr>'gráfico EM zona y tipología'!Área_de_impresión</vt:lpstr>
      <vt:lpstr>'Gráfico IOa munic y ca '!Área_de_impresión</vt:lpstr>
      <vt:lpstr>'Gráfico pernocta munic y cate'!Área_de_impresión</vt:lpstr>
      <vt:lpstr>'IO evolución mensual'!Área_de_impresión</vt:lpstr>
      <vt:lpstr>'IO municipio y catego'!Área_de_impresión</vt:lpstr>
      <vt:lpstr>'IO municipio y Tipología'!Área_de_impresión</vt:lpstr>
      <vt:lpstr>'IO Tipología'!Área_de_impresión</vt:lpstr>
      <vt:lpstr>'IO tipología y categoría'!Área_de_impresión</vt:lpstr>
      <vt:lpstr>'IO zona y Tipología '!Área_de_impresión</vt:lpstr>
      <vt:lpstr>'Menú categoría-tipología'!Área_de_impresión</vt:lpstr>
      <vt:lpstr>'Menú EM'!Área_de_impresión</vt:lpstr>
      <vt:lpstr>'Menú IO'!Área_de_impresión</vt:lpstr>
      <vt:lpstr>'Menú municipios turísticos'!Área_de_impresión</vt:lpstr>
      <vt:lpstr>'Menú nacionalidades'!Área_de_impresión</vt:lpstr>
      <vt:lpstr>'Menú Oferta Alojativa'!Área_de_impresión</vt:lpstr>
      <vt:lpstr>'Menú Pernoctaciones'!Área_de_impresión</vt:lpstr>
      <vt:lpstr>'Menú plazas autorizadas'!Área_de_impresión</vt:lpstr>
      <vt:lpstr>'Menú Principal'!Área_de_impresión</vt:lpstr>
      <vt:lpstr>'Menú tipología de establecimien'!Área_de_impresión</vt:lpstr>
      <vt:lpstr>'Menú Turismo alojado'!Área_de_impresión</vt:lpstr>
      <vt:lpstr>'Menú zonas y tipología'!Área_de_impresión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'Ofe Aloj Estim zona cat '!Área_de_impresión</vt:lpstr>
      <vt:lpstr>'Oferta Alojat Estim tipol categ'!Área_de_impresión</vt:lpstr>
      <vt:lpstr>'pernocta municipio y catego'!Área_de_impresión</vt:lpstr>
      <vt:lpstr>'Pernoctacion mensual'!Área_de_impresión</vt:lpstr>
      <vt:lpstr>'Pernoctaciones  tipolog y categ'!Área_de_impresión</vt:lpstr>
      <vt:lpstr>'Pernoctaciones munic y tipologí'!Área_de_impresión</vt:lpstr>
      <vt:lpstr>'Pernoctaciones tipología'!Área_de_impresión</vt:lpstr>
      <vt:lpstr>'Plazas Autorizadas tipología'!Área_de_impresión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(acumulado julio 2010)</dc:title>
  <dc:creator>marjorie</dc:creator>
  <cp:lastModifiedBy>marjorie</cp:lastModifiedBy>
  <dcterms:created xsi:type="dcterms:W3CDTF">2010-09-08T13:30:33Z</dcterms:created>
  <dcterms:modified xsi:type="dcterms:W3CDTF">2010-09-08T13:35:21Z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dbb6a3a8-ca7f-4e09-b364-df6c73f9070c</vt:lpwstr>
  </property>
</Properties>
</file>